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eernembe.sharepoint.com/sites/TEAM_FIN_2020-2025_legislatuur/Gedeelde documenten/2020-2025 kerkfabrieken/jaar -en eindrekeningen/2025/"/>
    </mc:Choice>
  </mc:AlternateContent>
  <xr:revisionPtr revIDLastSave="517" documentId="8_{54550B79-8B39-44DF-A5F6-AD73CF36F5A1}" xr6:coauthVersionLast="47" xr6:coauthVersionMax="47" xr10:uidLastSave="{2CEAFCD4-3E5A-4BC2-B89C-85A110580EEC}"/>
  <bookViews>
    <workbookView xWindow="-120" yWindow="-120" windowWidth="29040" windowHeight="15720" tabRatio="601" xr2:uid="{00000000-000D-0000-FFFF-FFFF00000000}"/>
  </bookViews>
  <sheets>
    <sheet name="Rekeningen EUR" sheetId="3" r:id="rId1"/>
    <sheet name="fin.rekeningen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A36" i="3" l="1"/>
  <c r="BD37" i="3"/>
  <c r="BD36" i="3"/>
  <c r="BE24" i="3"/>
  <c r="BD25" i="3"/>
  <c r="BD24" i="3"/>
  <c r="BB37" i="3"/>
  <c r="BA37" i="3"/>
  <c r="AY36" i="3"/>
  <c r="AX37" i="3"/>
  <c r="AX36" i="3"/>
  <c r="BB32" i="3"/>
  <c r="BE29" i="3" s="1"/>
  <c r="BE32" i="3" s="1"/>
  <c r="BA31" i="3"/>
  <c r="BA30" i="3"/>
  <c r="AX31" i="3"/>
  <c r="AX30" i="3"/>
  <c r="BA25" i="3"/>
  <c r="BA24" i="3"/>
  <c r="AY24" i="3"/>
  <c r="AX25" i="3"/>
  <c r="AX24" i="3"/>
  <c r="AX23" i="3"/>
  <c r="AV20" i="3"/>
  <c r="BB18" i="3"/>
  <c r="BA18" i="3"/>
  <c r="BA19" i="3"/>
  <c r="BD13" i="3"/>
  <c r="BD12" i="3"/>
  <c r="BE12" i="3"/>
  <c r="BA12" i="3"/>
  <c r="BA13" i="3"/>
  <c r="AX12" i="3"/>
  <c r="AX14" i="3" s="1"/>
  <c r="AX13" i="3"/>
  <c r="BD19" i="3"/>
  <c r="BD18" i="3"/>
  <c r="AY20" i="3"/>
  <c r="BB17" i="3" s="1"/>
  <c r="BB20" i="3" s="1"/>
  <c r="BE17" i="3" s="1"/>
  <c r="BE20" i="3" s="1"/>
  <c r="AY17" i="3"/>
  <c r="AV17" i="3"/>
  <c r="AX19" i="3"/>
  <c r="AX18" i="3"/>
  <c r="BD14" i="3" l="1"/>
  <c r="BA11" i="3"/>
  <c r="BA14" i="3" s="1"/>
  <c r="BD11" i="3"/>
  <c r="AX11" i="3"/>
  <c r="AU31" i="3"/>
  <c r="AU30" i="3"/>
  <c r="AU25" i="3"/>
  <c r="AU24" i="3"/>
  <c r="AU37" i="3"/>
  <c r="AU36" i="3"/>
  <c r="AV12" i="3"/>
  <c r="AU12" i="3"/>
  <c r="AU19" i="3"/>
  <c r="AU18" i="3"/>
  <c r="AR37" i="3"/>
  <c r="AR36" i="3"/>
  <c r="AR30" i="3"/>
  <c r="AR24" i="3"/>
  <c r="AR18" i="3"/>
  <c r="AR13" i="3"/>
  <c r="AR12" i="3"/>
  <c r="AO37" i="3"/>
  <c r="AO36" i="3"/>
  <c r="AO30" i="3"/>
  <c r="AO25" i="3" l="1"/>
  <c r="AO24" i="3"/>
  <c r="AO19" i="3"/>
  <c r="AO18" i="3"/>
  <c r="AO12" i="3" l="1"/>
  <c r="AL24" i="3" l="1"/>
  <c r="AL18" i="3"/>
  <c r="AL36" i="3" l="1"/>
  <c r="AL12" i="3"/>
  <c r="AL30" i="3" l="1"/>
  <c r="AI18" i="3" l="1"/>
  <c r="AI24" i="3"/>
  <c r="AI36" i="3" l="1"/>
  <c r="AI30" i="3"/>
  <c r="AI12" i="3" l="1"/>
  <c r="AF24" i="3" l="1"/>
  <c r="AC24" i="3"/>
  <c r="AF18" i="3"/>
  <c r="AF36" i="3" l="1"/>
  <c r="AF12" i="3" l="1"/>
  <c r="AF31" i="3" l="1"/>
  <c r="AF30" i="3"/>
  <c r="AC19" i="3" l="1"/>
  <c r="AC18" i="3"/>
  <c r="AC13" i="3"/>
  <c r="AC12" i="3"/>
  <c r="AC37" i="3" l="1"/>
  <c r="AC36" i="3"/>
  <c r="AC31" i="3" l="1"/>
  <c r="AC30" i="3"/>
  <c r="AC25" i="3" l="1"/>
  <c r="Z18" i="3" l="1"/>
  <c r="Z24" i="3" l="1"/>
  <c r="Z36" i="3" l="1"/>
  <c r="Z12" i="3"/>
  <c r="Z30" i="3"/>
  <c r="W36" i="3" l="1"/>
  <c r="W30" i="3"/>
  <c r="W24" i="3"/>
  <c r="W18" i="3" l="1"/>
  <c r="W12" i="3" l="1"/>
  <c r="W13" i="3"/>
  <c r="T37" i="3" l="1"/>
  <c r="T36" i="3"/>
  <c r="T31" i="3"/>
  <c r="T30" i="3"/>
  <c r="U25" i="3" l="1"/>
  <c r="U24" i="3"/>
  <c r="T25" i="3"/>
  <c r="T24" i="3"/>
  <c r="U18" i="3" l="1"/>
  <c r="T19" i="3"/>
  <c r="T18" i="3"/>
  <c r="T12" i="3" l="1"/>
  <c r="U32" i="3" l="1"/>
  <c r="X29" i="3" s="1"/>
  <c r="X32" i="3" s="1"/>
  <c r="AA29" i="3" s="1"/>
  <c r="AA32" i="3" s="1"/>
  <c r="AD29" i="3" s="1"/>
  <c r="AD32" i="3" s="1"/>
  <c r="AG29" i="3" s="1"/>
  <c r="AG32" i="3" s="1"/>
  <c r="AJ29" i="3" s="1"/>
  <c r="AJ32" i="3" s="1"/>
  <c r="AM29" i="3" s="1"/>
  <c r="AM32" i="3" s="1"/>
  <c r="AP29" i="3" s="1"/>
  <c r="AP32" i="3" s="1"/>
  <c r="AS29" i="3" s="1"/>
  <c r="AS32" i="3" s="1"/>
  <c r="AV29" i="3" s="1"/>
  <c r="AV32" i="3" s="1"/>
  <c r="AY29" i="3" s="1"/>
  <c r="AY32" i="3" s="1"/>
  <c r="BB29" i="3" s="1"/>
  <c r="R18" i="3"/>
  <c r="Q19" i="3"/>
  <c r="Q18" i="3"/>
  <c r="Q13" i="3"/>
  <c r="Q12" i="3"/>
  <c r="Q25" i="3"/>
  <c r="Q24" i="3"/>
  <c r="R36" i="3"/>
  <c r="Q37" i="3"/>
  <c r="Q36" i="3"/>
  <c r="Q31" i="3"/>
  <c r="Q30" i="3"/>
  <c r="R32" i="3"/>
  <c r="U29" i="3" s="1"/>
  <c r="O37" i="3"/>
  <c r="O36" i="3"/>
  <c r="N37" i="3"/>
  <c r="N36" i="3"/>
  <c r="N31" i="3"/>
  <c r="N30" i="3"/>
  <c r="O24" i="3"/>
  <c r="N25" i="3"/>
  <c r="N24" i="3"/>
  <c r="O19" i="3"/>
  <c r="O18" i="3"/>
  <c r="N19" i="3"/>
  <c r="N18" i="3"/>
  <c r="O12" i="3"/>
  <c r="N13" i="3"/>
  <c r="N12" i="3"/>
  <c r="O32" i="3"/>
  <c r="R29" i="3" s="1"/>
  <c r="K30" i="3"/>
  <c r="L32" i="3"/>
  <c r="O29" i="3" s="1"/>
  <c r="H36" i="3"/>
  <c r="H30" i="3"/>
  <c r="I38" i="3"/>
  <c r="L35" i="3" s="1"/>
  <c r="L38" i="3" s="1"/>
  <c r="O35" i="3" s="1"/>
  <c r="I32" i="3"/>
  <c r="L29" i="3" s="1"/>
  <c r="I14" i="3"/>
  <c r="L11" i="3" s="1"/>
  <c r="L14" i="3" s="1"/>
  <c r="O11" i="3" s="1"/>
  <c r="C14" i="3"/>
  <c r="E11" i="3" s="1"/>
  <c r="E14" i="3" s="1"/>
  <c r="H11" i="3" s="1"/>
  <c r="H14" i="3" s="1"/>
  <c r="K11" i="3" s="1"/>
  <c r="K14" i="3" s="1"/>
  <c r="N11" i="3" s="1"/>
  <c r="F38" i="3"/>
  <c r="I35" i="3" s="1"/>
  <c r="F32" i="3"/>
  <c r="I29" i="3" s="1"/>
  <c r="F26" i="3"/>
  <c r="I23" i="3" s="1"/>
  <c r="I26" i="3" s="1"/>
  <c r="L23" i="3" s="1"/>
  <c r="L26" i="3" s="1"/>
  <c r="O23" i="3" s="1"/>
  <c r="F20" i="3"/>
  <c r="I17" i="3" s="1"/>
  <c r="I20" i="3" s="1"/>
  <c r="L17" i="3" s="1"/>
  <c r="L20" i="3" s="1"/>
  <c r="O17" i="3" s="1"/>
  <c r="F14" i="3"/>
  <c r="I11" i="3" s="1"/>
  <c r="C38" i="3"/>
  <c r="E35" i="3" s="1"/>
  <c r="E38" i="3" s="1"/>
  <c r="H35" i="3" s="1"/>
  <c r="C32" i="3"/>
  <c r="E29" i="3" s="1"/>
  <c r="E32" i="3" s="1"/>
  <c r="H29" i="3" s="1"/>
  <c r="C26" i="3"/>
  <c r="E23" i="3" s="1"/>
  <c r="E26" i="3" s="1"/>
  <c r="H23" i="3" s="1"/>
  <c r="H26" i="3" s="1"/>
  <c r="K23" i="3" s="1"/>
  <c r="K26" i="3" s="1"/>
  <c r="N23" i="3" s="1"/>
  <c r="C20" i="3"/>
  <c r="E17" i="3" s="1"/>
  <c r="E20" i="3" s="1"/>
  <c r="H17" i="3" s="1"/>
  <c r="H20" i="3" s="1"/>
  <c r="K17" i="3" s="1"/>
  <c r="K20" i="3" s="1"/>
  <c r="N17" i="3" s="1"/>
  <c r="O26" i="3" l="1"/>
  <c r="R23" i="3" s="1"/>
  <c r="R26" i="3" s="1"/>
  <c r="U23" i="3" s="1"/>
  <c r="U26" i="3" s="1"/>
  <c r="X23" i="3" s="1"/>
  <c r="X26" i="3" s="1"/>
  <c r="AA23" i="3" s="1"/>
  <c r="AA26" i="3" s="1"/>
  <c r="AD23" i="3" s="1"/>
  <c r="AD26" i="3" s="1"/>
  <c r="AG23" i="3" s="1"/>
  <c r="AG26" i="3" s="1"/>
  <c r="AJ23" i="3" s="1"/>
  <c r="AJ26" i="3" s="1"/>
  <c r="AM23" i="3" s="1"/>
  <c r="AM26" i="3" s="1"/>
  <c r="AP23" i="3" s="1"/>
  <c r="AP26" i="3" s="1"/>
  <c r="AS23" i="3" s="1"/>
  <c r="AS26" i="3" s="1"/>
  <c r="AV23" i="3" s="1"/>
  <c r="AV26" i="3" s="1"/>
  <c r="AY23" i="3" s="1"/>
  <c r="AY26" i="3" s="1"/>
  <c r="BB23" i="3" s="1"/>
  <c r="BB26" i="3" s="1"/>
  <c r="BE23" i="3" s="1"/>
  <c r="BE26" i="3" s="1"/>
  <c r="N14" i="3"/>
  <c r="Q11" i="3" s="1"/>
  <c r="Q14" i="3" s="1"/>
  <c r="T11" i="3" s="1"/>
  <c r="T14" i="3" s="1"/>
  <c r="W11" i="3" s="1"/>
  <c r="W14" i="3" s="1"/>
  <c r="Z11" i="3" s="1"/>
  <c r="Z14" i="3" s="1"/>
  <c r="AC11" i="3" s="1"/>
  <c r="AC14" i="3" s="1"/>
  <c r="AF11" i="3" s="1"/>
  <c r="AF14" i="3" s="1"/>
  <c r="AI11" i="3" s="1"/>
  <c r="AI14" i="3" s="1"/>
  <c r="AL11" i="3" s="1"/>
  <c r="AL14" i="3" s="1"/>
  <c r="AO11" i="3" s="1"/>
  <c r="AO14" i="3" s="1"/>
  <c r="AR11" i="3" s="1"/>
  <c r="AR14" i="3" s="1"/>
  <c r="AU11" i="3" s="1"/>
  <c r="AU14" i="3" s="1"/>
  <c r="O20" i="3"/>
  <c r="R17" i="3" s="1"/>
  <c r="R20" i="3" s="1"/>
  <c r="U17" i="3" s="1"/>
  <c r="U20" i="3" s="1"/>
  <c r="X17" i="3" s="1"/>
  <c r="X20" i="3" s="1"/>
  <c r="AA17" i="3" s="1"/>
  <c r="AA20" i="3" s="1"/>
  <c r="AD17" i="3" s="1"/>
  <c r="AD20" i="3" s="1"/>
  <c r="AG17" i="3" s="1"/>
  <c r="AG20" i="3" s="1"/>
  <c r="AJ17" i="3" s="1"/>
  <c r="AJ20" i="3" s="1"/>
  <c r="AM17" i="3" s="1"/>
  <c r="AM20" i="3" s="1"/>
  <c r="AP17" i="3" s="1"/>
  <c r="AP20" i="3" s="1"/>
  <c r="AS17" i="3" s="1"/>
  <c r="AS20" i="3" s="1"/>
  <c r="N26" i="3"/>
  <c r="Q23" i="3" s="1"/>
  <c r="Q26" i="3" s="1"/>
  <c r="T23" i="3" s="1"/>
  <c r="T26" i="3" s="1"/>
  <c r="W23" i="3" s="1"/>
  <c r="W26" i="3" s="1"/>
  <c r="Z23" i="3" s="1"/>
  <c r="Z26" i="3" s="1"/>
  <c r="AC23" i="3" s="1"/>
  <c r="AC26" i="3" s="1"/>
  <c r="AF23" i="3" s="1"/>
  <c r="AF26" i="3" s="1"/>
  <c r="AI23" i="3" s="1"/>
  <c r="AI26" i="3" s="1"/>
  <c r="AL23" i="3" s="1"/>
  <c r="AL26" i="3" s="1"/>
  <c r="AO23" i="3" s="1"/>
  <c r="AO26" i="3" s="1"/>
  <c r="AR23" i="3" s="1"/>
  <c r="AR26" i="3" s="1"/>
  <c r="AU23" i="3" s="1"/>
  <c r="AU26" i="3" s="1"/>
  <c r="AX26" i="3" s="1"/>
  <c r="BA23" i="3" s="1"/>
  <c r="BA26" i="3" s="1"/>
  <c r="BD23" i="3" s="1"/>
  <c r="BD26" i="3" s="1"/>
  <c r="H32" i="3"/>
  <c r="K29" i="3" s="1"/>
  <c r="K32" i="3" s="1"/>
  <c r="N29" i="3" s="1"/>
  <c r="N32" i="3" s="1"/>
  <c r="Q29" i="3" s="1"/>
  <c r="Q32" i="3" s="1"/>
  <c r="T29" i="3" s="1"/>
  <c r="T32" i="3" s="1"/>
  <c r="W29" i="3" s="1"/>
  <c r="W32" i="3" s="1"/>
  <c r="Z29" i="3" s="1"/>
  <c r="Z32" i="3" s="1"/>
  <c r="AC29" i="3" s="1"/>
  <c r="AC32" i="3" s="1"/>
  <c r="AF29" i="3" s="1"/>
  <c r="AF32" i="3" s="1"/>
  <c r="AI29" i="3" s="1"/>
  <c r="AI32" i="3" s="1"/>
  <c r="AL29" i="3" s="1"/>
  <c r="AL32" i="3" s="1"/>
  <c r="AO29" i="3" s="1"/>
  <c r="AO32" i="3" s="1"/>
  <c r="AR29" i="3" s="1"/>
  <c r="AR32" i="3" s="1"/>
  <c r="AU29" i="3" s="1"/>
  <c r="AU32" i="3" s="1"/>
  <c r="AX29" i="3" s="1"/>
  <c r="AX32" i="3" s="1"/>
  <c r="BA29" i="3" s="1"/>
  <c r="BA32" i="3" s="1"/>
  <c r="BD29" i="3" s="1"/>
  <c r="BD32" i="3" s="1"/>
  <c r="O38" i="3"/>
  <c r="R35" i="3" s="1"/>
  <c r="R38" i="3" s="1"/>
  <c r="U35" i="3" s="1"/>
  <c r="U38" i="3" s="1"/>
  <c r="X35" i="3" s="1"/>
  <c r="X38" i="3" s="1"/>
  <c r="AA35" i="3" s="1"/>
  <c r="AA38" i="3" s="1"/>
  <c r="AD35" i="3" s="1"/>
  <c r="AD38" i="3" s="1"/>
  <c r="AG35" i="3" s="1"/>
  <c r="AG38" i="3" s="1"/>
  <c r="AJ35" i="3" s="1"/>
  <c r="AJ38" i="3" s="1"/>
  <c r="AM35" i="3" s="1"/>
  <c r="AM38" i="3" s="1"/>
  <c r="AP35" i="3" s="1"/>
  <c r="AP38" i="3" s="1"/>
  <c r="AS35" i="3" s="1"/>
  <c r="AS38" i="3" s="1"/>
  <c r="AV35" i="3" s="1"/>
  <c r="AV38" i="3" s="1"/>
  <c r="AY35" i="3" s="1"/>
  <c r="AY38" i="3" s="1"/>
  <c r="BB35" i="3" s="1"/>
  <c r="BB38" i="3" s="1"/>
  <c r="BE35" i="3" s="1"/>
  <c r="BE38" i="3" s="1"/>
  <c r="H38" i="3"/>
  <c r="K35" i="3" s="1"/>
  <c r="K38" i="3" s="1"/>
  <c r="N35" i="3" s="1"/>
  <c r="N38" i="3" s="1"/>
  <c r="Q35" i="3" s="1"/>
  <c r="Q38" i="3" s="1"/>
  <c r="T35" i="3" s="1"/>
  <c r="T38" i="3" s="1"/>
  <c r="W35" i="3" s="1"/>
  <c r="W38" i="3" s="1"/>
  <c r="Z35" i="3" s="1"/>
  <c r="Z38" i="3" s="1"/>
  <c r="AC35" i="3" s="1"/>
  <c r="AC38" i="3" s="1"/>
  <c r="AF35" i="3" s="1"/>
  <c r="AF38" i="3" s="1"/>
  <c r="AI35" i="3" s="1"/>
  <c r="AI38" i="3" s="1"/>
  <c r="AL35" i="3" s="1"/>
  <c r="AL38" i="3" s="1"/>
  <c r="AO35" i="3" s="1"/>
  <c r="AO38" i="3" s="1"/>
  <c r="AR35" i="3" s="1"/>
  <c r="AR38" i="3" s="1"/>
  <c r="AU35" i="3" s="1"/>
  <c r="AU38" i="3" s="1"/>
  <c r="AX35" i="3" s="1"/>
  <c r="AX38" i="3" s="1"/>
  <c r="BA35" i="3" s="1"/>
  <c r="BA38" i="3" s="1"/>
  <c r="BD35" i="3" s="1"/>
  <c r="BD38" i="3" s="1"/>
  <c r="N20" i="3"/>
  <c r="Q17" i="3" s="1"/>
  <c r="Q20" i="3" s="1"/>
  <c r="T17" i="3" s="1"/>
  <c r="T20" i="3" s="1"/>
  <c r="W17" i="3" s="1"/>
  <c r="W20" i="3" s="1"/>
  <c r="Z17" i="3" s="1"/>
  <c r="Z20" i="3" s="1"/>
  <c r="AC17" i="3" s="1"/>
  <c r="AC20" i="3" s="1"/>
  <c r="AF17" i="3" s="1"/>
  <c r="AF20" i="3" s="1"/>
  <c r="AI17" i="3" s="1"/>
  <c r="AI20" i="3" s="1"/>
  <c r="AL17" i="3" s="1"/>
  <c r="AL20" i="3" s="1"/>
  <c r="AO17" i="3" s="1"/>
  <c r="AO20" i="3" s="1"/>
  <c r="AR17" i="3" s="1"/>
  <c r="AR20" i="3" s="1"/>
  <c r="AU17" i="3" s="1"/>
  <c r="AU20" i="3" s="1"/>
  <c r="AX17" i="3" s="1"/>
  <c r="AX20" i="3" s="1"/>
  <c r="BA17" i="3" s="1"/>
  <c r="BA20" i="3" s="1"/>
  <c r="BD17" i="3" s="1"/>
  <c r="BD20" i="3" s="1"/>
  <c r="O14" i="3"/>
  <c r="R11" i="3" s="1"/>
  <c r="R14" i="3" s="1"/>
  <c r="U11" i="3" s="1"/>
  <c r="U14" i="3" s="1"/>
  <c r="X11" i="3" s="1"/>
  <c r="X14" i="3" s="1"/>
  <c r="AA11" i="3" s="1"/>
  <c r="AA14" i="3" s="1"/>
  <c r="AD11" i="3" s="1"/>
  <c r="AD14" i="3" s="1"/>
  <c r="AG11" i="3" s="1"/>
  <c r="AG14" i="3" s="1"/>
  <c r="AJ11" i="3" s="1"/>
  <c r="AJ14" i="3" s="1"/>
  <c r="AM11" i="3" s="1"/>
  <c r="AM14" i="3" s="1"/>
  <c r="AP11" i="3" s="1"/>
  <c r="AP14" i="3" s="1"/>
  <c r="AS11" i="3" s="1"/>
  <c r="AS14" i="3" s="1"/>
  <c r="AV11" i="3" s="1"/>
  <c r="AV14" i="3" s="1"/>
  <c r="AY11" i="3" s="1"/>
  <c r="AY14" i="3" s="1"/>
  <c r="BB11" i="3" s="1"/>
  <c r="BB14" i="3" s="1"/>
  <c r="BE11" i="3" s="1"/>
  <c r="BE14" i="3" s="1"/>
</calcChain>
</file>

<file path=xl/sharedStrings.xml><?xml version="1.0" encoding="utf-8"?>
<sst xmlns="http://schemas.openxmlformats.org/spreadsheetml/2006/main" count="226" uniqueCount="24">
  <si>
    <t>KERKFABRIEKEN  Beernem</t>
  </si>
  <si>
    <t>Samenvatting dienstjaarrekeningen</t>
  </si>
  <si>
    <t>Kerkfabriek</t>
  </si>
  <si>
    <t>St.-Amandus</t>
  </si>
  <si>
    <t>K.R.</t>
  </si>
  <si>
    <t>BONI</t>
  </si>
  <si>
    <t>H.M.M.Gods</t>
  </si>
  <si>
    <t>St.-Lambertus</t>
  </si>
  <si>
    <t>St.-Petrus</t>
  </si>
  <si>
    <t>Exploitatie</t>
  </si>
  <si>
    <t>Investeringen</t>
  </si>
  <si>
    <t>saldo vorig jaar</t>
  </si>
  <si>
    <t>uitgaven</t>
  </si>
  <si>
    <t>ontvangsten</t>
  </si>
  <si>
    <t>Overzicht financiële rekeningen</t>
  </si>
  <si>
    <t>Sint-Amandus</t>
  </si>
  <si>
    <t>werkingsrekeningen</t>
  </si>
  <si>
    <t>patrimoniumrekeningen</t>
  </si>
  <si>
    <t>Sint-Lambertus</t>
  </si>
  <si>
    <t>Sint-Petrus</t>
  </si>
  <si>
    <t>Sint-Georgius</t>
  </si>
  <si>
    <t>St.-Georgius</t>
  </si>
  <si>
    <t xml:space="preserve"> </t>
  </si>
  <si>
    <t>saldo op 30/12/25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</si>
</sst>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"/>
  </numFmts>
  <fonts count="17">
    <font>
      <sz val="10"/>
      <name val="Arial"/>
    </font>
    <font>
      <b/>
      <sz val="10"/>
      <name val="Arial"/>
      <family val="2"/>
    </font>
    <font>
      <b/>
      <sz val="10"/>
      <name val="Alaska Extrabold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4"/>
      <name val="Alaska Extrabold"/>
      <family val="2"/>
    </font>
    <font>
      <b/>
      <sz val="14"/>
      <name val="Arial"/>
      <family val="2"/>
    </font>
    <font>
      <sz val="10"/>
      <name val="Arial"/>
      <family val="2"/>
    </font>
    <font>
      <i/>
      <sz val="8"/>
      <color indexed="8"/>
      <name val="Arial"/>
      <family val="2"/>
    </font>
    <font>
      <sz val="8"/>
      <name val="Arial"/>
      <family val="2"/>
    </font>
    <font>
      <b/>
      <sz val="10"/>
      <color rgb="FFFF0000"/>
      <name val="Arial"/>
      <family val="2"/>
    </font>
    <font>
      <i/>
      <sz val="8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gray0625">
        <bgColor indexed="9"/>
      </patternFill>
    </fill>
    <fill>
      <patternFill patternType="solid">
        <fgColor rgb="FFFFFFCC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Continuous"/>
    </xf>
    <xf numFmtId="0" fontId="4" fillId="2" borderId="1" xfId="0" applyFont="1" applyFill="1" applyBorder="1" applyAlignment="1">
      <alignment vertical="center"/>
    </xf>
    <xf numFmtId="0" fontId="6" fillId="2" borderId="2" xfId="0" applyFont="1" applyFill="1" applyBorder="1"/>
    <xf numFmtId="0" fontId="5" fillId="2" borderId="2" xfId="0" applyFont="1" applyFill="1" applyBorder="1"/>
    <xf numFmtId="0" fontId="5" fillId="2" borderId="3" xfId="0" applyFont="1" applyFill="1" applyBorder="1"/>
    <xf numFmtId="0" fontId="6" fillId="2" borderId="4" xfId="0" applyFont="1" applyFill="1" applyBorder="1"/>
    <xf numFmtId="0" fontId="5" fillId="3" borderId="4" xfId="0" applyFont="1" applyFill="1" applyBorder="1"/>
    <xf numFmtId="0" fontId="5" fillId="3" borderId="2" xfId="0" applyFont="1" applyFill="1" applyBorder="1"/>
    <xf numFmtId="0" fontId="4" fillId="3" borderId="3" xfId="0" applyFont="1" applyFill="1" applyBorder="1"/>
    <xf numFmtId="0" fontId="8" fillId="0" borderId="0" xfId="0" applyFont="1"/>
    <xf numFmtId="4" fontId="9" fillId="0" borderId="5" xfId="0" applyNumberFormat="1" applyFont="1" applyBorder="1"/>
    <xf numFmtId="4" fontId="9" fillId="0" borderId="6" xfId="0" applyNumberFormat="1" applyFont="1" applyBorder="1"/>
    <xf numFmtId="4" fontId="3" fillId="0" borderId="7" xfId="0" applyNumberFormat="1" applyFont="1" applyBorder="1"/>
    <xf numFmtId="164" fontId="10" fillId="0" borderId="7" xfId="0" applyNumberFormat="1" applyFont="1" applyBorder="1" applyAlignment="1">
      <alignment horizontal="center"/>
    </xf>
    <xf numFmtId="164" fontId="10" fillId="0" borderId="6" xfId="0" applyNumberFormat="1" applyFont="1" applyBorder="1" applyAlignment="1">
      <alignment horizontal="center"/>
    </xf>
    <xf numFmtId="0" fontId="5" fillId="0" borderId="8" xfId="0" applyFont="1" applyBorder="1"/>
    <xf numFmtId="164" fontId="10" fillId="0" borderId="0" xfId="0" applyNumberFormat="1" applyFont="1" applyAlignment="1">
      <alignment horizontal="center"/>
    </xf>
    <xf numFmtId="4" fontId="9" fillId="0" borderId="0" xfId="0" applyNumberFormat="1" applyFont="1"/>
    <xf numFmtId="4" fontId="3" fillId="0" borderId="0" xfId="0" applyNumberFormat="1" applyFont="1"/>
    <xf numFmtId="0" fontId="6" fillId="0" borderId="0" xfId="0" applyFont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164" fontId="10" fillId="0" borderId="10" xfId="0" applyNumberFormat="1" applyFont="1" applyBorder="1" applyAlignment="1">
      <alignment horizontal="center"/>
    </xf>
    <xf numFmtId="4" fontId="3" fillId="0" borderId="11" xfId="0" applyNumberFormat="1" applyFont="1" applyBorder="1"/>
    <xf numFmtId="0" fontId="5" fillId="0" borderId="0" xfId="0" applyFont="1" applyAlignment="1">
      <alignment vertical="center"/>
    </xf>
    <xf numFmtId="0" fontId="0" fillId="0" borderId="13" xfId="0" applyBorder="1"/>
    <xf numFmtId="0" fontId="0" fillId="0" borderId="15" xfId="0" applyBorder="1"/>
    <xf numFmtId="0" fontId="0" fillId="0" borderId="12" xfId="0" applyBorder="1"/>
    <xf numFmtId="0" fontId="9" fillId="0" borderId="0" xfId="0" applyFont="1"/>
    <xf numFmtId="0" fontId="7" fillId="0" borderId="0" xfId="0" applyFont="1"/>
    <xf numFmtId="164" fontId="10" fillId="4" borderId="7" xfId="0" applyNumberFormat="1" applyFont="1" applyFill="1" applyBorder="1" applyAlignment="1">
      <alignment horizontal="center"/>
    </xf>
    <xf numFmtId="4" fontId="9" fillId="4" borderId="5" xfId="0" applyNumberFormat="1" applyFont="1" applyFill="1" applyBorder="1"/>
    <xf numFmtId="4" fontId="9" fillId="4" borderId="6" xfId="0" applyNumberFormat="1" applyFont="1" applyFill="1" applyBorder="1"/>
    <xf numFmtId="4" fontId="3" fillId="4" borderId="7" xfId="0" applyNumberFormat="1" applyFont="1" applyFill="1" applyBorder="1"/>
    <xf numFmtId="0" fontId="9" fillId="0" borderId="12" xfId="0" applyFont="1" applyBorder="1"/>
    <xf numFmtId="0" fontId="12" fillId="0" borderId="0" xfId="0" applyFont="1"/>
    <xf numFmtId="4" fontId="1" fillId="0" borderId="5" xfId="0" applyNumberFormat="1" applyFont="1" applyBorder="1"/>
    <xf numFmtId="4" fontId="1" fillId="0" borderId="7" xfId="0" applyNumberFormat="1" applyFont="1" applyBorder="1"/>
    <xf numFmtId="4" fontId="0" fillId="0" borderId="0" xfId="0" applyNumberFormat="1"/>
    <xf numFmtId="4" fontId="9" fillId="0" borderId="15" xfId="0" applyNumberFormat="1" applyFont="1" applyBorder="1"/>
    <xf numFmtId="4" fontId="9" fillId="0" borderId="13" xfId="0" applyNumberFormat="1" applyFont="1" applyBorder="1"/>
    <xf numFmtId="0" fontId="9" fillId="0" borderId="0" xfId="0" applyFont="1" applyAlignment="1">
      <alignment horizontal="center"/>
    </xf>
    <xf numFmtId="164" fontId="10" fillId="7" borderId="7" xfId="0" applyNumberFormat="1" applyFont="1" applyFill="1" applyBorder="1" applyAlignment="1">
      <alignment horizontal="center"/>
    </xf>
    <xf numFmtId="4" fontId="9" fillId="7" borderId="5" xfId="0" applyNumberFormat="1" applyFont="1" applyFill="1" applyBorder="1"/>
    <xf numFmtId="4" fontId="9" fillId="7" borderId="6" xfId="0" applyNumberFormat="1" applyFont="1" applyFill="1" applyBorder="1"/>
    <xf numFmtId="4" fontId="3" fillId="7" borderId="7" xfId="0" applyNumberFormat="1" applyFont="1" applyFill="1" applyBorder="1"/>
    <xf numFmtId="4" fontId="15" fillId="7" borderId="5" xfId="0" applyNumberFormat="1" applyFont="1" applyFill="1" applyBorder="1"/>
    <xf numFmtId="4" fontId="15" fillId="7" borderId="6" xfId="0" applyNumberFormat="1" applyFont="1" applyFill="1" applyBorder="1"/>
    <xf numFmtId="4" fontId="15" fillId="4" borderId="5" xfId="0" applyNumberFormat="1" applyFont="1" applyFill="1" applyBorder="1"/>
    <xf numFmtId="4" fontId="15" fillId="4" borderId="6" xfId="0" applyNumberFormat="1" applyFont="1" applyFill="1" applyBorder="1"/>
    <xf numFmtId="4" fontId="16" fillId="4" borderId="7" xfId="0" applyNumberFormat="1" applyFont="1" applyFill="1" applyBorder="1"/>
    <xf numFmtId="4" fontId="14" fillId="7" borderId="5" xfId="0" applyNumberFormat="1" applyFont="1" applyFill="1" applyBorder="1"/>
    <xf numFmtId="4" fontId="14" fillId="7" borderId="6" xfId="0" applyNumberFormat="1" applyFont="1" applyFill="1" applyBorder="1"/>
    <xf numFmtId="4" fontId="9" fillId="0" borderId="4" xfId="0" applyNumberFormat="1" applyFont="1" applyBorder="1"/>
    <xf numFmtId="4" fontId="15" fillId="0" borderId="14" xfId="0" applyNumberFormat="1" applyFont="1" applyBorder="1"/>
    <xf numFmtId="4" fontId="15" fillId="0" borderId="16" xfId="0" applyNumberFormat="1" applyFont="1" applyBorder="1"/>
    <xf numFmtId="4" fontId="16" fillId="7" borderId="7" xfId="0" applyNumberFormat="1" applyFont="1" applyFill="1" applyBorder="1"/>
    <xf numFmtId="164" fontId="10" fillId="0" borderId="19" xfId="0" applyNumberFormat="1" applyFont="1" applyBorder="1" applyAlignment="1">
      <alignment horizontal="center"/>
    </xf>
    <xf numFmtId="164" fontId="10" fillId="0" borderId="20" xfId="0" applyNumberFormat="1" applyFont="1" applyBorder="1" applyAlignment="1">
      <alignment horizontal="center"/>
    </xf>
    <xf numFmtId="0" fontId="6" fillId="6" borderId="17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164" fontId="10" fillId="4" borderId="19" xfId="0" applyNumberFormat="1" applyFont="1" applyFill="1" applyBorder="1" applyAlignment="1">
      <alignment horizontal="center"/>
    </xf>
    <xf numFmtId="164" fontId="10" fillId="4" borderId="20" xfId="0" applyNumberFormat="1" applyFont="1" applyFill="1" applyBorder="1" applyAlignment="1">
      <alignment horizontal="center"/>
    </xf>
    <xf numFmtId="164" fontId="13" fillId="0" borderId="19" xfId="0" applyNumberFormat="1" applyFont="1" applyBorder="1" applyAlignment="1">
      <alignment horizontal="center"/>
    </xf>
    <xf numFmtId="164" fontId="13" fillId="0" borderId="20" xfId="0" applyNumberFormat="1" applyFont="1" applyBorder="1" applyAlignment="1">
      <alignment horizont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4" fontId="15" fillId="0" borderId="14" xfId="0" applyNumberFormat="1" applyFont="1" applyFill="1" applyBorder="1"/>
    <xf numFmtId="4" fontId="15" fillId="0" borderId="3" xfId="0" applyNumberFormat="1" applyFont="1" applyFill="1" applyBorder="1"/>
  </cellXfs>
  <cellStyles count="1">
    <cellStyle name="Standa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  <color rgb="FFFF99CC"/>
      <color rgb="FFFF6699"/>
      <color rgb="FFFF7C80"/>
      <color rgb="FFFFFF99"/>
      <color rgb="FFDCE7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152400</xdr:rowOff>
    </xdr:from>
    <xdr:to>
      <xdr:col>32</xdr:col>
      <xdr:colOff>676275</xdr:colOff>
      <xdr:row>4</xdr:row>
      <xdr:rowOff>76200</xdr:rowOff>
    </xdr:to>
    <xdr:sp macro="" textlink="">
      <xdr:nvSpPr>
        <xdr:cNvPr id="3073" name="Rectangle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>
          <a:spLocks noChangeArrowheads="1"/>
        </xdr:cNvSpPr>
      </xdr:nvSpPr>
      <xdr:spPr bwMode="auto">
        <a:xfrm>
          <a:off x="38100" y="542925"/>
          <a:ext cx="3543300" cy="3143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104775</xdr:rowOff>
    </xdr:from>
    <xdr:to>
      <xdr:col>6</xdr:col>
      <xdr:colOff>0</xdr:colOff>
      <xdr:row>4</xdr:row>
      <xdr:rowOff>47625</xdr:rowOff>
    </xdr:to>
    <xdr:sp macro="" textlink="">
      <xdr:nvSpPr>
        <xdr:cNvPr id="5121" name="Rectangle 1">
          <a:extLst>
            <a:ext uri="{FF2B5EF4-FFF2-40B4-BE49-F238E27FC236}">
              <a16:creationId xmlns:a16="http://schemas.microsoft.com/office/drawing/2014/main" id="{00000000-0008-0000-0100-000001140000}"/>
            </a:ext>
          </a:extLst>
        </xdr:cNvPr>
        <xdr:cNvSpPr>
          <a:spLocks noChangeArrowheads="1"/>
        </xdr:cNvSpPr>
      </xdr:nvSpPr>
      <xdr:spPr bwMode="auto">
        <a:xfrm>
          <a:off x="19050" y="495300"/>
          <a:ext cx="5619750" cy="3333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3"/>
  <dimension ref="A1:BF40"/>
  <sheetViews>
    <sheetView tabSelected="1" zoomScaleNormal="100" workbookViewId="0">
      <pane xSplit="4" ySplit="8" topLeftCell="AJ9" activePane="bottomRight" state="frozen"/>
      <selection activeCell="E22" sqref="E22"/>
      <selection pane="topRight" activeCell="E22" sqref="E22"/>
      <selection pane="bottomLeft" activeCell="E22" sqref="E22"/>
      <selection pane="bottomRight" activeCell="BG8" sqref="BG8"/>
    </sheetView>
  </sheetViews>
  <sheetFormatPr defaultRowHeight="12.75"/>
  <cols>
    <col min="1" max="1" width="16" customWidth="1"/>
    <col min="2" max="2" width="16.28515625" customWidth="1"/>
    <col min="3" max="3" width="10.140625" hidden="1" customWidth="1"/>
    <col min="4" max="4" width="1.85546875" hidden="1" customWidth="1"/>
    <col min="5" max="5" width="0" hidden="1" customWidth="1"/>
    <col min="6" max="6" width="12" hidden="1" customWidth="1"/>
    <col min="7" max="7" width="1.42578125" hidden="1" customWidth="1"/>
    <col min="8" max="8" width="0" hidden="1" customWidth="1"/>
    <col min="9" max="9" width="11" hidden="1" customWidth="1"/>
    <col min="10" max="10" width="1.42578125" hidden="1" customWidth="1"/>
    <col min="11" max="11" width="0" hidden="1" customWidth="1"/>
    <col min="12" max="12" width="11" hidden="1" customWidth="1"/>
    <col min="13" max="13" width="1.42578125" hidden="1" customWidth="1"/>
    <col min="14" max="14" width="0" hidden="1" customWidth="1"/>
    <col min="15" max="15" width="11" hidden="1" customWidth="1"/>
    <col min="16" max="16" width="1.7109375" hidden="1" customWidth="1"/>
    <col min="17" max="17" width="9.140625" hidden="1" customWidth="1"/>
    <col min="18" max="18" width="11" hidden="1" customWidth="1"/>
    <col min="19" max="19" width="1.7109375" hidden="1" customWidth="1"/>
    <col min="20" max="20" width="9.140625" hidden="1" customWidth="1"/>
    <col min="21" max="21" width="11" hidden="1" customWidth="1"/>
    <col min="22" max="22" width="1.5703125" hidden="1" customWidth="1"/>
    <col min="23" max="23" width="9.140625" hidden="1" customWidth="1"/>
    <col min="24" max="24" width="11" hidden="1" customWidth="1"/>
    <col min="25" max="25" width="2.140625" hidden="1" customWidth="1"/>
    <col min="26" max="26" width="9.140625" hidden="1" customWidth="1"/>
    <col min="27" max="27" width="11" hidden="1" customWidth="1"/>
    <col min="28" max="28" width="2.140625" hidden="1" customWidth="1"/>
    <col min="29" max="29" width="9.140625" hidden="1" customWidth="1"/>
    <col min="30" max="30" width="11" hidden="1" customWidth="1"/>
    <col min="31" max="31" width="2" customWidth="1"/>
    <col min="32" max="32" width="9.140625" bestFit="1" customWidth="1"/>
    <col min="33" max="33" width="11" bestFit="1" customWidth="1"/>
    <col min="34" max="34" width="2.140625" customWidth="1"/>
    <col min="35" max="35" width="9.140625" bestFit="1" customWidth="1"/>
    <col min="36" max="36" width="11" bestFit="1" customWidth="1"/>
    <col min="37" max="37" width="1.85546875" customWidth="1"/>
    <col min="38" max="38" width="10.140625" bestFit="1" customWidth="1"/>
    <col min="39" max="39" width="11" bestFit="1" customWidth="1"/>
    <col min="40" max="40" width="2.42578125" customWidth="1"/>
    <col min="41" max="41" width="10.140625" bestFit="1" customWidth="1"/>
    <col min="42" max="42" width="10.140625" customWidth="1"/>
    <col min="43" max="43" width="2.42578125" customWidth="1"/>
    <col min="44" max="44" width="10.140625" bestFit="1" customWidth="1"/>
    <col min="45" max="45" width="10.140625" customWidth="1"/>
    <col min="46" max="46" width="2.42578125" customWidth="1"/>
    <col min="47" max="48" width="10.7109375" customWidth="1"/>
    <col min="49" max="49" width="2.42578125" customWidth="1"/>
    <col min="50" max="51" width="10.7109375" customWidth="1"/>
    <col min="52" max="52" width="2.42578125" customWidth="1"/>
    <col min="53" max="54" width="10.7109375" customWidth="1"/>
    <col min="55" max="55" width="2.140625" customWidth="1"/>
    <col min="56" max="56" width="10.42578125" customWidth="1"/>
    <col min="57" max="57" width="11" bestFit="1" customWidth="1"/>
  </cols>
  <sheetData>
    <row r="1" spans="1:58" ht="18">
      <c r="A1" s="11" t="s">
        <v>0</v>
      </c>
      <c r="B1" s="25"/>
    </row>
    <row r="2" spans="1:58">
      <c r="A2" s="1"/>
    </row>
    <row r="3" spans="1:58">
      <c r="A3" s="1"/>
    </row>
    <row r="4" spans="1:58" ht="18">
      <c r="A4" s="30" t="s">
        <v>1</v>
      </c>
      <c r="B4" s="30"/>
      <c r="C4" s="30"/>
      <c r="D4" s="30"/>
      <c r="E4" s="30"/>
      <c r="F4" s="30"/>
      <c r="T4" s="29" t="s">
        <v>22</v>
      </c>
      <c r="AC4" s="36"/>
      <c r="AF4" s="36"/>
    </row>
    <row r="5" spans="1:58">
      <c r="A5" s="2"/>
    </row>
    <row r="6" spans="1:58">
      <c r="A6" s="2"/>
      <c r="BD6" s="29"/>
    </row>
    <row r="7" spans="1:58" ht="13.5" thickBot="1"/>
    <row r="8" spans="1:58" ht="16.5" thickBot="1">
      <c r="A8" s="3" t="s">
        <v>2</v>
      </c>
      <c r="C8" s="22">
        <v>2007</v>
      </c>
      <c r="D8" s="21"/>
      <c r="E8" s="68">
        <v>2008</v>
      </c>
      <c r="F8" s="69"/>
      <c r="H8" s="68">
        <v>2009</v>
      </c>
      <c r="I8" s="69"/>
      <c r="K8" s="68">
        <v>2010</v>
      </c>
      <c r="L8" s="69"/>
      <c r="N8" s="68">
        <v>2011</v>
      </c>
      <c r="O8" s="69"/>
      <c r="Q8" s="68">
        <v>2012</v>
      </c>
      <c r="R8" s="69"/>
      <c r="T8" s="60">
        <v>2013</v>
      </c>
      <c r="U8" s="61"/>
      <c r="W8" s="60">
        <v>2014</v>
      </c>
      <c r="X8" s="61"/>
      <c r="Z8" s="60">
        <v>2015</v>
      </c>
      <c r="AA8" s="61"/>
      <c r="AC8" s="60">
        <v>2016</v>
      </c>
      <c r="AD8" s="61"/>
      <c r="AF8" s="60">
        <v>2017</v>
      </c>
      <c r="AG8" s="61"/>
      <c r="AI8" s="60">
        <v>2018</v>
      </c>
      <c r="AJ8" s="61"/>
      <c r="AL8" s="60">
        <v>2019</v>
      </c>
      <c r="AM8" s="61"/>
      <c r="AO8" s="60">
        <v>2020</v>
      </c>
      <c r="AP8" s="61"/>
      <c r="AR8" s="60">
        <v>2021</v>
      </c>
      <c r="AS8" s="61"/>
      <c r="AU8" s="60">
        <v>2022</v>
      </c>
      <c r="AV8" s="61"/>
      <c r="AX8" s="60">
        <v>2023</v>
      </c>
      <c r="AY8" s="61"/>
      <c r="BA8" s="60">
        <v>2024</v>
      </c>
      <c r="BB8" s="61"/>
      <c r="BD8" s="62">
        <v>2025</v>
      </c>
      <c r="BE8" s="63"/>
    </row>
    <row r="9" spans="1:58" ht="15">
      <c r="A9" s="4" t="s">
        <v>3</v>
      </c>
      <c r="B9" s="8" t="s">
        <v>4</v>
      </c>
      <c r="C9" s="23">
        <v>39510</v>
      </c>
      <c r="D9" s="18"/>
      <c r="E9" s="58">
        <v>39859</v>
      </c>
      <c r="F9" s="59"/>
      <c r="H9" s="58">
        <v>40268</v>
      </c>
      <c r="I9" s="59"/>
      <c r="K9" s="58">
        <v>40605</v>
      </c>
      <c r="L9" s="59"/>
      <c r="N9" s="58">
        <v>40969</v>
      </c>
      <c r="O9" s="59"/>
      <c r="Q9" s="58">
        <v>41316</v>
      </c>
      <c r="R9" s="59"/>
      <c r="T9" s="58">
        <v>41669</v>
      </c>
      <c r="U9" s="59"/>
      <c r="W9" s="58">
        <v>42026</v>
      </c>
      <c r="X9" s="59"/>
      <c r="Z9" s="58">
        <v>42394</v>
      </c>
      <c r="AA9" s="59"/>
      <c r="AC9" s="58">
        <v>42777</v>
      </c>
      <c r="AD9" s="59"/>
      <c r="AF9" s="58">
        <v>43131</v>
      </c>
      <c r="AG9" s="59"/>
      <c r="AI9" s="58">
        <v>43487</v>
      </c>
      <c r="AJ9" s="59"/>
      <c r="AL9" s="58">
        <v>43853</v>
      </c>
      <c r="AM9" s="59"/>
      <c r="AO9" s="58">
        <v>44228</v>
      </c>
      <c r="AP9" s="59"/>
      <c r="AR9" s="58">
        <v>44588</v>
      </c>
      <c r="AS9" s="59"/>
      <c r="AU9" s="58">
        <v>44973</v>
      </c>
      <c r="AV9" s="59"/>
      <c r="AX9" s="58">
        <v>45320</v>
      </c>
      <c r="AY9" s="59"/>
      <c r="BA9" s="58">
        <v>45691</v>
      </c>
      <c r="BB9" s="59"/>
      <c r="BD9" s="64"/>
      <c r="BE9" s="65"/>
    </row>
    <row r="10" spans="1:58" ht="15">
      <c r="A10" s="4"/>
      <c r="B10" s="9"/>
      <c r="C10" s="15"/>
      <c r="D10" s="18"/>
      <c r="E10" s="15" t="s">
        <v>9</v>
      </c>
      <c r="F10" s="15" t="s">
        <v>10</v>
      </c>
      <c r="H10" s="15" t="s">
        <v>9</v>
      </c>
      <c r="I10" s="15" t="s">
        <v>10</v>
      </c>
      <c r="K10" s="15" t="s">
        <v>9</v>
      </c>
      <c r="L10" s="15" t="s">
        <v>10</v>
      </c>
      <c r="N10" s="15" t="s">
        <v>9</v>
      </c>
      <c r="O10" s="15" t="s">
        <v>10</v>
      </c>
      <c r="Q10" s="15" t="s">
        <v>9</v>
      </c>
      <c r="R10" s="15" t="s">
        <v>10</v>
      </c>
      <c r="T10" s="15" t="s">
        <v>9</v>
      </c>
      <c r="U10" s="15" t="s">
        <v>10</v>
      </c>
      <c r="W10" s="15" t="s">
        <v>9</v>
      </c>
      <c r="X10" s="15" t="s">
        <v>10</v>
      </c>
      <c r="Z10" s="15" t="s">
        <v>9</v>
      </c>
      <c r="AA10" s="15" t="s">
        <v>10</v>
      </c>
      <c r="AC10" s="15" t="s">
        <v>9</v>
      </c>
      <c r="AD10" s="15" t="s">
        <v>10</v>
      </c>
      <c r="AF10" s="15" t="s">
        <v>9</v>
      </c>
      <c r="AG10" s="15" t="s">
        <v>10</v>
      </c>
      <c r="AI10" s="15" t="s">
        <v>9</v>
      </c>
      <c r="AJ10" s="15" t="s">
        <v>10</v>
      </c>
      <c r="AL10" s="15" t="s">
        <v>9</v>
      </c>
      <c r="AM10" s="15" t="s">
        <v>10</v>
      </c>
      <c r="AO10" s="15" t="s">
        <v>9</v>
      </c>
      <c r="AP10" s="15" t="s">
        <v>10</v>
      </c>
      <c r="AR10" s="15" t="s">
        <v>9</v>
      </c>
      <c r="AS10" s="15" t="s">
        <v>10</v>
      </c>
      <c r="AU10" s="15" t="s">
        <v>9</v>
      </c>
      <c r="AV10" s="15" t="s">
        <v>10</v>
      </c>
      <c r="AX10" s="15" t="s">
        <v>9</v>
      </c>
      <c r="AY10" s="15" t="s">
        <v>10</v>
      </c>
      <c r="BA10" s="43" t="s">
        <v>9</v>
      </c>
      <c r="BB10" s="43" t="s">
        <v>10</v>
      </c>
      <c r="BD10" s="31" t="s">
        <v>9</v>
      </c>
      <c r="BE10" s="31" t="s">
        <v>10</v>
      </c>
      <c r="BF10" s="29"/>
    </row>
    <row r="11" spans="1:58" ht="15">
      <c r="A11" s="4"/>
      <c r="B11" s="9" t="s">
        <v>11</v>
      </c>
      <c r="C11" s="16"/>
      <c r="D11" s="18"/>
      <c r="E11" s="12">
        <f>C14</f>
        <v>17246.929999999993</v>
      </c>
      <c r="F11" s="12">
        <v>0</v>
      </c>
      <c r="H11" s="12">
        <f>E14</f>
        <v>25181.079999999987</v>
      </c>
      <c r="I11" s="12">
        <f>F14</f>
        <v>0</v>
      </c>
      <c r="K11" s="12">
        <f>H14</f>
        <v>18731.879999999997</v>
      </c>
      <c r="L11" s="12">
        <f>I14</f>
        <v>2119.9500000000116</v>
      </c>
      <c r="N11" s="12">
        <f>K14</f>
        <v>5738.1900000000023</v>
      </c>
      <c r="O11" s="12">
        <f>L14</f>
        <v>120.26000000001659</v>
      </c>
      <c r="Q11" s="12">
        <f>N14</f>
        <v>-608.19999999999709</v>
      </c>
      <c r="R11" s="12">
        <f>O14</f>
        <v>1.6825651982799172E-11</v>
      </c>
      <c r="T11" s="12">
        <f>Q14</f>
        <v>8775.6900000000023</v>
      </c>
      <c r="U11" s="12">
        <f>R14</f>
        <v>1.6825651982799172E-11</v>
      </c>
      <c r="W11" s="12">
        <f>T14</f>
        <v>10843.570000000014</v>
      </c>
      <c r="X11" s="12">
        <f>U14</f>
        <v>1.6825651982799172E-11</v>
      </c>
      <c r="Z11" s="12">
        <f>W14</f>
        <v>6637.0700000000143</v>
      </c>
      <c r="AA11" s="12">
        <f>X14</f>
        <v>1.6825651982799172E-11</v>
      </c>
      <c r="AC11" s="12">
        <f>Z14</f>
        <v>5798.5400000000154</v>
      </c>
      <c r="AD11" s="12">
        <f>AA14</f>
        <v>1.6825651982799172E-11</v>
      </c>
      <c r="AF11" s="12">
        <f>AC14</f>
        <v>5656.5900000000183</v>
      </c>
      <c r="AG11" s="12">
        <f>AD14</f>
        <v>1.6825651982799172E-11</v>
      </c>
      <c r="AI11" s="12">
        <f>AF14</f>
        <v>1935.1700000000201</v>
      </c>
      <c r="AJ11" s="12">
        <f>AG14</f>
        <v>1.6825651982799172E-11</v>
      </c>
      <c r="AL11" s="12">
        <f>AI14</f>
        <v>1349.5300000000207</v>
      </c>
      <c r="AM11" s="12">
        <f>AJ14</f>
        <v>1.6825651982799172E-11</v>
      </c>
      <c r="AO11" s="12">
        <f>AL14</f>
        <v>4738.6300000000192</v>
      </c>
      <c r="AP11" s="12">
        <f>AM14</f>
        <v>1.6825651982799172E-11</v>
      </c>
      <c r="AR11" s="12">
        <f>AO14</f>
        <v>4052.3800000000119</v>
      </c>
      <c r="AS11" s="12">
        <f>AP14</f>
        <v>1.6825651982799172E-11</v>
      </c>
      <c r="AU11" s="12">
        <f>AR14</f>
        <v>2675.3200000000143</v>
      </c>
      <c r="AV11" s="12">
        <f>AS14</f>
        <v>3398.2500000000168</v>
      </c>
      <c r="AX11" s="12">
        <f>AU14</f>
        <v>4434.140000000014</v>
      </c>
      <c r="AY11" s="12">
        <f>AV14</f>
        <v>1.6825651982799172E-11</v>
      </c>
      <c r="BA11" s="47">
        <f>AX14</f>
        <v>7917.8100000000122</v>
      </c>
      <c r="BB11" s="44">
        <f>AY14</f>
        <v>3750.0000000000168</v>
      </c>
      <c r="BD11" s="32">
        <f>BA14</f>
        <v>7888.6800000000076</v>
      </c>
      <c r="BE11" s="32">
        <f>BB14</f>
        <v>3102.9100000000203</v>
      </c>
    </row>
    <row r="12" spans="1:58" ht="15">
      <c r="A12" s="5"/>
      <c r="B12" s="9" t="s">
        <v>13</v>
      </c>
      <c r="C12" s="12">
        <v>176998.11</v>
      </c>
      <c r="D12" s="19"/>
      <c r="E12" s="12">
        <v>63381.09</v>
      </c>
      <c r="F12" s="12">
        <v>219400.73</v>
      </c>
      <c r="H12" s="12">
        <v>56167.23</v>
      </c>
      <c r="I12" s="12">
        <v>137217.06</v>
      </c>
      <c r="K12" s="12">
        <v>62091.48</v>
      </c>
      <c r="L12" s="12">
        <v>42499.26</v>
      </c>
      <c r="N12" s="12">
        <f>55700.52+7603.4</f>
        <v>63303.92</v>
      </c>
      <c r="O12" s="12">
        <f>2213.75+454.19</f>
        <v>2667.94</v>
      </c>
      <c r="Q12" s="12">
        <f>11479.14+52243.85</f>
        <v>63722.99</v>
      </c>
      <c r="R12" s="12">
        <v>56000</v>
      </c>
      <c r="T12" s="12">
        <f>7392.54+52832.16</f>
        <v>60224.700000000004</v>
      </c>
      <c r="U12" s="12">
        <v>0</v>
      </c>
      <c r="W12" s="12">
        <f>5540.28+52178.07</f>
        <v>57718.35</v>
      </c>
      <c r="X12" s="12">
        <v>40202.25</v>
      </c>
      <c r="Z12" s="12">
        <f>7185.86+48986.14</f>
        <v>56172</v>
      </c>
      <c r="AA12" s="12"/>
      <c r="AC12" s="12">
        <f>5619.23+51349.93</f>
        <v>56969.16</v>
      </c>
      <c r="AD12" s="12">
        <v>120164.22</v>
      </c>
      <c r="AF12" s="12">
        <f>4050.54+55307.26</f>
        <v>59357.8</v>
      </c>
      <c r="AG12" s="12"/>
      <c r="AI12" s="12">
        <f>3776.07+56378.14</f>
        <v>60154.21</v>
      </c>
      <c r="AJ12" s="12"/>
      <c r="AL12" s="12">
        <f>4387.74+57475.25</f>
        <v>61862.99</v>
      </c>
      <c r="AM12" s="12"/>
      <c r="AO12" s="12">
        <f>3766.91+56602.57</f>
        <v>60369.479999999996</v>
      </c>
      <c r="AP12" s="12"/>
      <c r="AR12" s="12">
        <f>4207.67+53595.04</f>
        <v>57802.71</v>
      </c>
      <c r="AS12" s="12">
        <v>3398.25</v>
      </c>
      <c r="AU12" s="12">
        <f>5552.04+54838.01</f>
        <v>60390.05</v>
      </c>
      <c r="AV12" s="12">
        <f>17072</f>
        <v>17072</v>
      </c>
      <c r="AX12" s="12">
        <f>5744.17+56785.69</f>
        <v>62529.86</v>
      </c>
      <c r="AY12" s="12">
        <v>3750</v>
      </c>
      <c r="BA12" s="44">
        <f>5111.89+55659.18</f>
        <v>60771.07</v>
      </c>
      <c r="BB12" s="44">
        <v>52040.86</v>
      </c>
      <c r="BD12" s="32">
        <f>11769.09+52784.52</f>
        <v>64553.61</v>
      </c>
      <c r="BE12" s="32">
        <f>718.2+317.09</f>
        <v>1035.29</v>
      </c>
    </row>
    <row r="13" spans="1:58" ht="15">
      <c r="A13" s="5"/>
      <c r="B13" s="9" t="s">
        <v>12</v>
      </c>
      <c r="C13" s="13">
        <v>159751.18</v>
      </c>
      <c r="D13" s="19"/>
      <c r="E13" s="13">
        <v>55446.94</v>
      </c>
      <c r="F13" s="13">
        <v>219400.73</v>
      </c>
      <c r="H13" s="13">
        <v>62616.43</v>
      </c>
      <c r="I13" s="13">
        <v>135097.10999999999</v>
      </c>
      <c r="K13" s="13">
        <v>75085.17</v>
      </c>
      <c r="L13" s="13">
        <v>44498.95</v>
      </c>
      <c r="N13" s="13">
        <f>62457.94+6738.18+454.19</f>
        <v>69650.31</v>
      </c>
      <c r="O13" s="13">
        <v>2788.2</v>
      </c>
      <c r="Q13" s="13">
        <f>54339.1</f>
        <v>54339.1</v>
      </c>
      <c r="R13" s="13">
        <v>56000</v>
      </c>
      <c r="T13" s="13">
        <v>58156.82</v>
      </c>
      <c r="U13" s="13">
        <v>0</v>
      </c>
      <c r="W13" s="13">
        <f>61924.85</f>
        <v>61924.85</v>
      </c>
      <c r="X13" s="13">
        <v>40202.25</v>
      </c>
      <c r="Z13" s="13">
        <v>57010.53</v>
      </c>
      <c r="AA13" s="13"/>
      <c r="AC13" s="13">
        <f>57111.11</f>
        <v>57111.11</v>
      </c>
      <c r="AD13" s="13">
        <v>120164.22</v>
      </c>
      <c r="AF13" s="13">
        <v>63079.22</v>
      </c>
      <c r="AG13" s="13"/>
      <c r="AI13" s="13">
        <v>60739.85</v>
      </c>
      <c r="AJ13" s="13"/>
      <c r="AL13" s="13">
        <v>58473.89</v>
      </c>
      <c r="AM13" s="13"/>
      <c r="AO13" s="13">
        <v>61055.73</v>
      </c>
      <c r="AP13" s="13"/>
      <c r="AR13" s="13">
        <f>59179.77</f>
        <v>59179.77</v>
      </c>
      <c r="AS13" s="13"/>
      <c r="AU13" s="13">
        <v>58631.23</v>
      </c>
      <c r="AV13" s="13">
        <v>20470.25</v>
      </c>
      <c r="AX13" s="13">
        <f>59046.19</f>
        <v>59046.19</v>
      </c>
      <c r="AY13" s="13">
        <v>0</v>
      </c>
      <c r="BA13" s="45">
        <f>60800.2</f>
        <v>60800.2</v>
      </c>
      <c r="BB13" s="45">
        <v>52687.95</v>
      </c>
      <c r="BD13" s="33">
        <f>65895.71+317.09</f>
        <v>66212.800000000003</v>
      </c>
      <c r="BE13" s="33">
        <v>4138.2</v>
      </c>
    </row>
    <row r="14" spans="1:58" ht="16.5" thickBot="1">
      <c r="A14" s="6"/>
      <c r="B14" s="10" t="s">
        <v>5</v>
      </c>
      <c r="C14" s="14">
        <f>C12-C13</f>
        <v>17246.929999999993</v>
      </c>
      <c r="D14" s="20"/>
      <c r="E14" s="14">
        <f>E11+E12-E13</f>
        <v>25181.079999999987</v>
      </c>
      <c r="F14" s="14">
        <f>F12-F13</f>
        <v>0</v>
      </c>
      <c r="H14" s="14">
        <f>H11+H12-H13</f>
        <v>18731.879999999997</v>
      </c>
      <c r="I14" s="14">
        <f>I12-I13</f>
        <v>2119.9500000000116</v>
      </c>
      <c r="K14" s="14">
        <f>K11+K12-K13</f>
        <v>5738.1900000000023</v>
      </c>
      <c r="L14" s="14">
        <f>L12-L13+L11</f>
        <v>120.26000000001659</v>
      </c>
      <c r="N14" s="14">
        <f>N11+N12-N13</f>
        <v>-608.19999999999709</v>
      </c>
      <c r="O14" s="14">
        <f>O12-O13+O11</f>
        <v>1.6825651982799172E-11</v>
      </c>
      <c r="Q14" s="14">
        <f>Q11+Q12-Q13</f>
        <v>8775.6900000000023</v>
      </c>
      <c r="R14" s="14">
        <f>R12-R13+R11</f>
        <v>1.6825651982799172E-11</v>
      </c>
      <c r="T14" s="14">
        <f>T11+T12-T13</f>
        <v>10843.570000000014</v>
      </c>
      <c r="U14" s="14">
        <f>U12-U13+U11</f>
        <v>1.6825651982799172E-11</v>
      </c>
      <c r="W14" s="14">
        <f>W11+W12-W13</f>
        <v>6637.0700000000143</v>
      </c>
      <c r="X14" s="14">
        <f>X12-X13+X11</f>
        <v>1.6825651982799172E-11</v>
      </c>
      <c r="Z14" s="14">
        <f>Z11+Z12-Z13</f>
        <v>5798.5400000000154</v>
      </c>
      <c r="AA14" s="14">
        <f>AA12-AA13+AA11</f>
        <v>1.6825651982799172E-11</v>
      </c>
      <c r="AC14" s="14">
        <f>AC11+AC12-AC13</f>
        <v>5656.5900000000183</v>
      </c>
      <c r="AD14" s="14">
        <f>AD12-AD13+AD11</f>
        <v>1.6825651982799172E-11</v>
      </c>
      <c r="AF14" s="14">
        <f>AF11+AF12-AF13</f>
        <v>1935.1700000000201</v>
      </c>
      <c r="AG14" s="14">
        <f>AG12-AG13+AG11</f>
        <v>1.6825651982799172E-11</v>
      </c>
      <c r="AI14" s="14">
        <f>AI11+AI12-AI13</f>
        <v>1349.5300000000207</v>
      </c>
      <c r="AJ14" s="14">
        <f>AJ12-AJ13+AJ11</f>
        <v>1.6825651982799172E-11</v>
      </c>
      <c r="AL14" s="14">
        <f>AL11+AL12-AL13</f>
        <v>4738.6300000000192</v>
      </c>
      <c r="AM14" s="14">
        <f>AM12-AM13+AM11</f>
        <v>1.6825651982799172E-11</v>
      </c>
      <c r="AO14" s="14">
        <f>AO11+AO12-AO13</f>
        <v>4052.3800000000119</v>
      </c>
      <c r="AP14" s="14">
        <f>AP12-AP13+AP11</f>
        <v>1.6825651982799172E-11</v>
      </c>
      <c r="AR14" s="14">
        <f>AR11+AR12-AR13</f>
        <v>2675.3200000000143</v>
      </c>
      <c r="AS14" s="14">
        <f>AS12-AS13+AS11</f>
        <v>3398.2500000000168</v>
      </c>
      <c r="AU14" s="14">
        <f>AU11+AU12-AU13</f>
        <v>4434.140000000014</v>
      </c>
      <c r="AV14" s="14">
        <f>AV12-AV13+AV11</f>
        <v>1.6825651982799172E-11</v>
      </c>
      <c r="AX14" s="14">
        <f>AX11+AX12-AX13</f>
        <v>7917.8100000000122</v>
      </c>
      <c r="AY14" s="14">
        <f>AY12-AY13+AY11</f>
        <v>3750.0000000000168</v>
      </c>
      <c r="BA14" s="46">
        <f>BA11+BA12-BA13</f>
        <v>7888.6800000000076</v>
      </c>
      <c r="BB14" s="46">
        <f>BB12-BB13+BB11</f>
        <v>3102.9100000000203</v>
      </c>
      <c r="BD14" s="34">
        <f>BD11+BD12-BD13</f>
        <v>6229.4900000000052</v>
      </c>
      <c r="BE14" s="51">
        <f>BE12-BE13+BE11</f>
        <v>2.0463630789890885E-11</v>
      </c>
    </row>
    <row r="15" spans="1:58" ht="15">
      <c r="A15" s="7" t="s">
        <v>6</v>
      </c>
      <c r="B15" s="8" t="s">
        <v>4</v>
      </c>
      <c r="C15" s="23">
        <v>39465</v>
      </c>
      <c r="D15" s="18"/>
      <c r="E15" s="58">
        <v>39855</v>
      </c>
      <c r="F15" s="59"/>
      <c r="H15" s="58">
        <v>40268</v>
      </c>
      <c r="I15" s="59"/>
      <c r="K15" s="58">
        <v>40618</v>
      </c>
      <c r="L15" s="59"/>
      <c r="N15" s="58">
        <v>40954</v>
      </c>
      <c r="O15" s="59"/>
      <c r="Q15" s="58">
        <v>41304</v>
      </c>
      <c r="R15" s="59"/>
      <c r="T15" s="58">
        <v>41675</v>
      </c>
      <c r="U15" s="59"/>
      <c r="W15" s="58">
        <v>42060</v>
      </c>
      <c r="X15" s="59"/>
      <c r="Z15" s="58">
        <v>42409</v>
      </c>
      <c r="AA15" s="59"/>
      <c r="AC15" s="58">
        <v>42774</v>
      </c>
      <c r="AD15" s="59"/>
      <c r="AF15" s="58">
        <v>43129</v>
      </c>
      <c r="AG15" s="59"/>
      <c r="AI15" s="58">
        <v>43486</v>
      </c>
      <c r="AJ15" s="59"/>
      <c r="AL15" s="58">
        <v>43860</v>
      </c>
      <c r="AM15" s="59"/>
      <c r="AO15" s="58">
        <v>44231</v>
      </c>
      <c r="AP15" s="59"/>
      <c r="AR15" s="58">
        <v>44608</v>
      </c>
      <c r="AS15" s="59"/>
      <c r="AU15" s="58">
        <v>44956</v>
      </c>
      <c r="AV15" s="59"/>
      <c r="AX15" s="58">
        <v>45321</v>
      </c>
      <c r="AY15" s="59"/>
      <c r="BA15" s="58">
        <v>45707</v>
      </c>
      <c r="BB15" s="59"/>
      <c r="BD15" s="64"/>
      <c r="BE15" s="65"/>
    </row>
    <row r="16" spans="1:58" ht="15">
      <c r="A16" s="4"/>
      <c r="B16" s="9"/>
      <c r="C16" s="15"/>
      <c r="D16" s="18"/>
      <c r="E16" s="15" t="s">
        <v>9</v>
      </c>
      <c r="F16" s="15" t="s">
        <v>10</v>
      </c>
      <c r="H16" s="15" t="s">
        <v>9</v>
      </c>
      <c r="I16" s="15" t="s">
        <v>10</v>
      </c>
      <c r="K16" s="15" t="s">
        <v>9</v>
      </c>
      <c r="L16" s="15" t="s">
        <v>10</v>
      </c>
      <c r="N16" s="15" t="s">
        <v>9</v>
      </c>
      <c r="O16" s="15" t="s">
        <v>10</v>
      </c>
      <c r="Q16" s="15" t="s">
        <v>9</v>
      </c>
      <c r="R16" s="15" t="s">
        <v>10</v>
      </c>
      <c r="T16" s="15" t="s">
        <v>9</v>
      </c>
      <c r="U16" s="15" t="s">
        <v>10</v>
      </c>
      <c r="W16" s="15" t="s">
        <v>9</v>
      </c>
      <c r="X16" s="15" t="s">
        <v>10</v>
      </c>
      <c r="Z16" s="15" t="s">
        <v>9</v>
      </c>
      <c r="AA16" s="15" t="s">
        <v>10</v>
      </c>
      <c r="AC16" s="15" t="s">
        <v>9</v>
      </c>
      <c r="AD16" s="15" t="s">
        <v>10</v>
      </c>
      <c r="AF16" s="15" t="s">
        <v>9</v>
      </c>
      <c r="AG16" s="15" t="s">
        <v>10</v>
      </c>
      <c r="AI16" s="15" t="s">
        <v>9</v>
      </c>
      <c r="AJ16" s="15" t="s">
        <v>10</v>
      </c>
      <c r="AL16" s="15" t="s">
        <v>9</v>
      </c>
      <c r="AM16" s="15" t="s">
        <v>10</v>
      </c>
      <c r="AO16" s="15" t="s">
        <v>9</v>
      </c>
      <c r="AP16" s="15" t="s">
        <v>10</v>
      </c>
      <c r="AR16" s="15" t="s">
        <v>9</v>
      </c>
      <c r="AS16" s="15" t="s">
        <v>10</v>
      </c>
      <c r="AU16" s="15" t="s">
        <v>9</v>
      </c>
      <c r="AV16" s="15" t="s">
        <v>10</v>
      </c>
      <c r="AX16" s="15" t="s">
        <v>9</v>
      </c>
      <c r="AY16" s="15" t="s">
        <v>10</v>
      </c>
      <c r="BA16" s="43" t="s">
        <v>9</v>
      </c>
      <c r="BB16" s="43" t="s">
        <v>10</v>
      </c>
      <c r="BD16" s="31" t="s">
        <v>9</v>
      </c>
      <c r="BE16" s="31" t="s">
        <v>10</v>
      </c>
    </row>
    <row r="17" spans="1:58" ht="15">
      <c r="A17" s="4"/>
      <c r="B17" s="9" t="s">
        <v>11</v>
      </c>
      <c r="C17" s="16"/>
      <c r="D17" s="18"/>
      <c r="E17" s="12">
        <f>C20</f>
        <v>20147.950000000004</v>
      </c>
      <c r="F17" s="12">
        <v>0</v>
      </c>
      <c r="H17" s="12">
        <f>E20</f>
        <v>32911.040000000001</v>
      </c>
      <c r="I17" s="12">
        <f>F20</f>
        <v>21466.11</v>
      </c>
      <c r="K17" s="12">
        <f>H20</f>
        <v>25131.61</v>
      </c>
      <c r="L17" s="12">
        <f>I20</f>
        <v>0</v>
      </c>
      <c r="N17" s="12">
        <f>K20</f>
        <v>14951.070000000007</v>
      </c>
      <c r="O17" s="12">
        <f>L20</f>
        <v>42975.23000000001</v>
      </c>
      <c r="Q17" s="12">
        <f>N20</f>
        <v>20188.790000000023</v>
      </c>
      <c r="R17" s="12">
        <f>O20</f>
        <v>23277.820000000007</v>
      </c>
      <c r="T17" s="12">
        <f>Q20</f>
        <v>19972.880000000019</v>
      </c>
      <c r="U17" s="12">
        <f>R20</f>
        <v>43429.45</v>
      </c>
      <c r="W17" s="12">
        <f>T20</f>
        <v>27916.140000000029</v>
      </c>
      <c r="X17" s="12">
        <f>U20</f>
        <v>0</v>
      </c>
      <c r="Z17" s="12">
        <f>W20</f>
        <v>30320.390000000029</v>
      </c>
      <c r="AA17" s="12">
        <f>X20</f>
        <v>823.69999999998254</v>
      </c>
      <c r="AC17" s="12">
        <f>Z20</f>
        <v>19631.700000000026</v>
      </c>
      <c r="AD17" s="12">
        <f>AA20</f>
        <v>0</v>
      </c>
      <c r="AF17" s="12">
        <f>AC20</f>
        <v>19755.490000000027</v>
      </c>
      <c r="AG17" s="12">
        <f>AD20</f>
        <v>0</v>
      </c>
      <c r="AI17" s="12">
        <f>AF20</f>
        <v>23483.940000000024</v>
      </c>
      <c r="AJ17" s="12">
        <f>AG20</f>
        <v>0</v>
      </c>
      <c r="AL17" s="12">
        <f>AI20</f>
        <v>11731.580000000024</v>
      </c>
      <c r="AM17" s="12">
        <f>AJ20</f>
        <v>145394.13</v>
      </c>
      <c r="AO17" s="12">
        <f>AL20</f>
        <v>784.67000000002008</v>
      </c>
      <c r="AP17" s="12">
        <f>AM20</f>
        <v>0</v>
      </c>
      <c r="AR17" s="12">
        <f>AO20</f>
        <v>2226.9900000000198</v>
      </c>
      <c r="AS17" s="12">
        <f>AP20</f>
        <v>0</v>
      </c>
      <c r="AU17" s="12">
        <f>AR20</f>
        <v>21545.790000000015</v>
      </c>
      <c r="AV17" s="12">
        <f>AS20</f>
        <v>0</v>
      </c>
      <c r="AX17" s="12">
        <f>AU20</f>
        <v>20510.75</v>
      </c>
      <c r="AY17" s="12">
        <f>AV20</f>
        <v>0</v>
      </c>
      <c r="BA17" s="44">
        <f>AX20</f>
        <v>12195.760000000002</v>
      </c>
      <c r="BB17" s="44">
        <f>AY20</f>
        <v>0</v>
      </c>
      <c r="BD17" s="32">
        <f>BA20</f>
        <v>24192.350000000006</v>
      </c>
      <c r="BE17" s="49">
        <f>BB20</f>
        <v>0</v>
      </c>
      <c r="BF17" s="29"/>
    </row>
    <row r="18" spans="1:58" ht="15">
      <c r="A18" s="5"/>
      <c r="B18" s="9" t="s">
        <v>13</v>
      </c>
      <c r="C18" s="12">
        <v>77929.47</v>
      </c>
      <c r="D18" s="19"/>
      <c r="E18" s="12">
        <v>57134.05</v>
      </c>
      <c r="F18" s="12">
        <v>115972.14</v>
      </c>
      <c r="H18" s="12">
        <v>49952.77</v>
      </c>
      <c r="I18" s="12">
        <v>25338.23</v>
      </c>
      <c r="K18" s="12">
        <v>46441.62</v>
      </c>
      <c r="L18" s="12">
        <v>258564.59</v>
      </c>
      <c r="N18" s="12">
        <f>16121.15+37702.8</f>
        <v>53823.950000000004</v>
      </c>
      <c r="O18" s="12">
        <f>8440+4852.2</f>
        <v>13292.2</v>
      </c>
      <c r="Q18" s="12">
        <f>19074.34+40316.91</f>
        <v>59391.25</v>
      </c>
      <c r="R18" s="12">
        <f>116368.58+14911.97</f>
        <v>131280.54999999999</v>
      </c>
      <c r="T18" s="12">
        <f>21200.88+39137.3</f>
        <v>60338.180000000008</v>
      </c>
      <c r="U18" s="12">
        <f>15031.59+10349.61</f>
        <v>25381.200000000001</v>
      </c>
      <c r="W18" s="12">
        <f>30572.77+21564.03</f>
        <v>52136.800000000003</v>
      </c>
      <c r="X18" s="12">
        <v>173414.05</v>
      </c>
      <c r="Z18" s="12">
        <f>25689.96+16654.26</f>
        <v>42344.22</v>
      </c>
      <c r="AA18" s="12">
        <v>773958.05</v>
      </c>
      <c r="AC18" s="12">
        <f>9676.99+31806.59</f>
        <v>41483.58</v>
      </c>
      <c r="AD18" s="12"/>
      <c r="AF18" s="12">
        <f>9936.73+32442.73</f>
        <v>42379.46</v>
      </c>
      <c r="AG18" s="12"/>
      <c r="AI18" s="12">
        <f>8257.11+32658.94</f>
        <v>40916.050000000003</v>
      </c>
      <c r="AJ18" s="12">
        <v>381207</v>
      </c>
      <c r="AL18" s="12">
        <f>12437.53+33752.28</f>
        <v>46189.81</v>
      </c>
      <c r="AM18" s="12">
        <v>198460.69</v>
      </c>
      <c r="AO18" s="12">
        <f>25708.72+22350.71</f>
        <v>48059.43</v>
      </c>
      <c r="AP18" s="12"/>
      <c r="AR18" s="12">
        <f>25826.37+30743.86</f>
        <v>56570.229999999996</v>
      </c>
      <c r="AS18" s="12"/>
      <c r="AU18" s="12">
        <f>28066.01+31944.67</f>
        <v>60010.679999999993</v>
      </c>
      <c r="AV18" s="12">
        <v>20236.27</v>
      </c>
      <c r="AX18" s="12">
        <f>28712.66+13577.8</f>
        <v>42290.46</v>
      </c>
      <c r="AY18" s="12">
        <v>14875.34</v>
      </c>
      <c r="BA18" s="44">
        <f>30514.22+29804.82</f>
        <v>60319.040000000001</v>
      </c>
      <c r="BB18" s="47">
        <f>14875.34+20290.01</f>
        <v>35165.35</v>
      </c>
      <c r="BD18" s="32">
        <f>35940.36+23203.04</f>
        <v>59143.4</v>
      </c>
      <c r="BE18" s="49">
        <v>0</v>
      </c>
    </row>
    <row r="19" spans="1:58" ht="15">
      <c r="A19" s="5"/>
      <c r="B19" s="9" t="s">
        <v>12</v>
      </c>
      <c r="C19" s="13">
        <v>57781.52</v>
      </c>
      <c r="D19" s="19"/>
      <c r="E19" s="13">
        <v>44370.96</v>
      </c>
      <c r="F19" s="13">
        <v>94506.03</v>
      </c>
      <c r="H19" s="13">
        <v>57732.2</v>
      </c>
      <c r="I19" s="13">
        <v>46804.34</v>
      </c>
      <c r="K19" s="13">
        <v>56622.16</v>
      </c>
      <c r="L19" s="13">
        <v>215589.36</v>
      </c>
      <c r="N19" s="13">
        <f>43734.03+4852.2</f>
        <v>48586.229999999996</v>
      </c>
      <c r="O19" s="13">
        <f>32989.61</f>
        <v>32989.61</v>
      </c>
      <c r="Q19" s="13">
        <f>44695.19+14911.97</f>
        <v>59607.16</v>
      </c>
      <c r="R19" s="13">
        <v>111128.92</v>
      </c>
      <c r="T19" s="13">
        <f>10349.61+42045.31</f>
        <v>52394.92</v>
      </c>
      <c r="U19" s="13">
        <v>68810.649999999994</v>
      </c>
      <c r="W19" s="13">
        <v>49732.55</v>
      </c>
      <c r="X19" s="13">
        <v>172590.35</v>
      </c>
      <c r="Z19" s="13">
        <v>53032.91</v>
      </c>
      <c r="AA19" s="13">
        <v>774781.75</v>
      </c>
      <c r="AC19" s="13">
        <f>41359.79</f>
        <v>41359.79</v>
      </c>
      <c r="AD19" s="13"/>
      <c r="AF19" s="13">
        <v>38651.01</v>
      </c>
      <c r="AG19" s="13"/>
      <c r="AI19" s="13">
        <v>52668.41</v>
      </c>
      <c r="AJ19" s="13">
        <v>235812.87</v>
      </c>
      <c r="AL19" s="13">
        <v>57136.72</v>
      </c>
      <c r="AM19" s="13">
        <v>343854.82</v>
      </c>
      <c r="AO19" s="13">
        <f>46617.11</f>
        <v>46617.11</v>
      </c>
      <c r="AP19" s="13"/>
      <c r="AR19" s="13">
        <v>37251.43</v>
      </c>
      <c r="AS19" s="13"/>
      <c r="AU19" s="13">
        <f>40809.45+20236.27</f>
        <v>61045.72</v>
      </c>
      <c r="AV19" s="13">
        <v>20236.27</v>
      </c>
      <c r="AX19" s="13">
        <f>35730.11+14875.34</f>
        <v>50605.45</v>
      </c>
      <c r="AY19" s="13">
        <v>14875.34</v>
      </c>
      <c r="BA19" s="45">
        <f>28032.44+20290.01</f>
        <v>48322.45</v>
      </c>
      <c r="BB19" s="48">
        <v>35165.35</v>
      </c>
      <c r="BD19" s="33">
        <f>49814.57</f>
        <v>49814.57</v>
      </c>
      <c r="BE19" s="50">
        <v>0</v>
      </c>
    </row>
    <row r="20" spans="1:58" ht="16.5" thickBot="1">
      <c r="A20" s="6"/>
      <c r="B20" s="10" t="s">
        <v>5</v>
      </c>
      <c r="C20" s="14">
        <f>C18-C19</f>
        <v>20147.950000000004</v>
      </c>
      <c r="D20" s="20"/>
      <c r="E20" s="14">
        <f>E17+E18-E19</f>
        <v>32911.040000000001</v>
      </c>
      <c r="F20" s="14">
        <f>F18-F19</f>
        <v>21466.11</v>
      </c>
      <c r="H20" s="14">
        <f>H17+H18-H19</f>
        <v>25131.61</v>
      </c>
      <c r="I20" s="14">
        <f>I17+I18-I19</f>
        <v>0</v>
      </c>
      <c r="K20" s="14">
        <f>K17+K18-K19</f>
        <v>14951.070000000007</v>
      </c>
      <c r="L20" s="14">
        <f>L17+L18-L19</f>
        <v>42975.23000000001</v>
      </c>
      <c r="N20" s="14">
        <f>N17+N18-N19</f>
        <v>20188.790000000023</v>
      </c>
      <c r="O20" s="14">
        <f>O17+O18-O19</f>
        <v>23277.820000000007</v>
      </c>
      <c r="Q20" s="14">
        <f>Q17+Q18-Q19</f>
        <v>19972.880000000019</v>
      </c>
      <c r="R20" s="14">
        <f>R17+R18-R19</f>
        <v>43429.45</v>
      </c>
      <c r="T20" s="14">
        <f>T17+T18-T19</f>
        <v>27916.140000000029</v>
      </c>
      <c r="U20" s="14">
        <f>U17+U18-U19</f>
        <v>0</v>
      </c>
      <c r="W20" s="14">
        <f>W17+W18-W19</f>
        <v>30320.390000000029</v>
      </c>
      <c r="X20" s="14">
        <f>X17+X18-X19</f>
        <v>823.69999999998254</v>
      </c>
      <c r="Z20" s="14">
        <f>Z17+Z18-Z19</f>
        <v>19631.700000000026</v>
      </c>
      <c r="AA20" s="14">
        <f>AA17+AA18-AA19</f>
        <v>0</v>
      </c>
      <c r="AC20" s="14">
        <f>AC17+AC18-AC19</f>
        <v>19755.490000000027</v>
      </c>
      <c r="AD20" s="14">
        <f>AD17+AD18-AD19</f>
        <v>0</v>
      </c>
      <c r="AF20" s="14">
        <f>AF17+AF18-AF19</f>
        <v>23483.940000000024</v>
      </c>
      <c r="AG20" s="14">
        <f>AG17+AG18-AG19</f>
        <v>0</v>
      </c>
      <c r="AI20" s="14">
        <f>AI17+AI18-AI19</f>
        <v>11731.580000000024</v>
      </c>
      <c r="AJ20" s="14">
        <f>AJ17+AJ18-AJ19</f>
        <v>145394.13</v>
      </c>
      <c r="AL20" s="14">
        <f>AL17+AL18-AL19</f>
        <v>784.67000000002008</v>
      </c>
      <c r="AM20" s="14">
        <f>AM17+AM18-AM19</f>
        <v>0</v>
      </c>
      <c r="AO20" s="14">
        <f>AO17+AO18-AO19</f>
        <v>2226.9900000000198</v>
      </c>
      <c r="AP20" s="14">
        <f>AP17+AP18-AP19</f>
        <v>0</v>
      </c>
      <c r="AR20" s="14">
        <f>AR17+AR18-AR19</f>
        <v>21545.790000000015</v>
      </c>
      <c r="AS20" s="14">
        <f>AS17+AS18-AS19</f>
        <v>0</v>
      </c>
      <c r="AU20" s="14">
        <f>AU17+AU18-AU19</f>
        <v>20510.75</v>
      </c>
      <c r="AV20" s="14">
        <f>AV17+AV18-AV19</f>
        <v>0</v>
      </c>
      <c r="AX20" s="14">
        <f>AX17+AX18-AX19</f>
        <v>12195.760000000002</v>
      </c>
      <c r="AY20" s="14">
        <f>AY17+AY18-AY19</f>
        <v>0</v>
      </c>
      <c r="BA20" s="46">
        <f>BA17+BA18-BA19</f>
        <v>24192.350000000006</v>
      </c>
      <c r="BB20" s="46">
        <f>BB17+BB18-BB19</f>
        <v>0</v>
      </c>
      <c r="BD20" s="34">
        <f>BD17+BD18-BD19</f>
        <v>33521.18</v>
      </c>
      <c r="BE20" s="51">
        <f>BE17+BE18-BE19</f>
        <v>0</v>
      </c>
    </row>
    <row r="21" spans="1:58" ht="15">
      <c r="A21" s="7" t="s">
        <v>7</v>
      </c>
      <c r="B21" s="8" t="s">
        <v>4</v>
      </c>
      <c r="C21" s="23">
        <v>39511</v>
      </c>
      <c r="D21" s="18"/>
      <c r="E21" s="58">
        <v>39874</v>
      </c>
      <c r="F21" s="59"/>
      <c r="H21" s="58">
        <v>40267</v>
      </c>
      <c r="I21" s="59"/>
      <c r="K21" s="58">
        <v>40630</v>
      </c>
      <c r="L21" s="59"/>
      <c r="N21" s="58">
        <v>40994</v>
      </c>
      <c r="O21" s="59"/>
      <c r="Q21" s="58">
        <v>41303</v>
      </c>
      <c r="R21" s="59"/>
      <c r="T21" s="58">
        <v>41642</v>
      </c>
      <c r="U21" s="59"/>
      <c r="W21" s="58">
        <v>42020</v>
      </c>
      <c r="X21" s="59"/>
      <c r="Z21" s="58">
        <v>42380</v>
      </c>
      <c r="AA21" s="59"/>
      <c r="AC21" s="58">
        <v>42772</v>
      </c>
      <c r="AD21" s="59"/>
      <c r="AF21" s="58">
        <v>43143</v>
      </c>
      <c r="AG21" s="59"/>
      <c r="AI21" s="58">
        <v>43504</v>
      </c>
      <c r="AJ21" s="59"/>
      <c r="AL21" s="58">
        <v>43904</v>
      </c>
      <c r="AM21" s="59"/>
      <c r="AO21" s="58">
        <v>44243</v>
      </c>
      <c r="AP21" s="59"/>
      <c r="AR21" s="58">
        <v>44606</v>
      </c>
      <c r="AS21" s="59"/>
      <c r="AU21" s="58">
        <v>44966</v>
      </c>
      <c r="AV21" s="59"/>
      <c r="AX21" s="58">
        <v>45300</v>
      </c>
      <c r="AY21" s="59"/>
      <c r="BA21" s="58">
        <v>45684</v>
      </c>
      <c r="BB21" s="59"/>
      <c r="BD21" s="64"/>
      <c r="BE21" s="65"/>
    </row>
    <row r="22" spans="1:58" ht="15">
      <c r="A22" s="4"/>
      <c r="B22" s="9"/>
      <c r="C22" s="15"/>
      <c r="D22" s="18"/>
      <c r="E22" s="15" t="s">
        <v>9</v>
      </c>
      <c r="F22" s="15" t="s">
        <v>10</v>
      </c>
      <c r="H22" s="15" t="s">
        <v>9</v>
      </c>
      <c r="I22" s="15" t="s">
        <v>10</v>
      </c>
      <c r="K22" s="15" t="s">
        <v>9</v>
      </c>
      <c r="L22" s="15" t="s">
        <v>10</v>
      </c>
      <c r="N22" s="15" t="s">
        <v>9</v>
      </c>
      <c r="O22" s="15" t="s">
        <v>10</v>
      </c>
      <c r="Q22" s="15" t="s">
        <v>9</v>
      </c>
      <c r="R22" s="15" t="s">
        <v>10</v>
      </c>
      <c r="T22" s="15" t="s">
        <v>9</v>
      </c>
      <c r="U22" s="15" t="s">
        <v>10</v>
      </c>
      <c r="W22" s="15" t="s">
        <v>9</v>
      </c>
      <c r="X22" s="15" t="s">
        <v>10</v>
      </c>
      <c r="Z22" s="15" t="s">
        <v>9</v>
      </c>
      <c r="AA22" s="15" t="s">
        <v>10</v>
      </c>
      <c r="AC22" s="15" t="s">
        <v>9</v>
      </c>
      <c r="AD22" s="15" t="s">
        <v>10</v>
      </c>
      <c r="AF22" s="15" t="s">
        <v>9</v>
      </c>
      <c r="AG22" s="15" t="s">
        <v>10</v>
      </c>
      <c r="AI22" s="15" t="s">
        <v>9</v>
      </c>
      <c r="AJ22" s="15" t="s">
        <v>10</v>
      </c>
      <c r="AL22" s="15" t="s">
        <v>9</v>
      </c>
      <c r="AM22" s="15" t="s">
        <v>10</v>
      </c>
      <c r="AO22" s="15" t="s">
        <v>9</v>
      </c>
      <c r="AP22" s="15" t="s">
        <v>10</v>
      </c>
      <c r="AR22" s="15" t="s">
        <v>9</v>
      </c>
      <c r="AS22" s="15" t="s">
        <v>10</v>
      </c>
      <c r="AU22" s="15" t="s">
        <v>9</v>
      </c>
      <c r="AV22" s="15" t="s">
        <v>10</v>
      </c>
      <c r="AX22" s="15" t="s">
        <v>9</v>
      </c>
      <c r="AY22" s="15" t="s">
        <v>10</v>
      </c>
      <c r="BA22" s="43" t="s">
        <v>9</v>
      </c>
      <c r="BB22" s="43" t="s">
        <v>10</v>
      </c>
      <c r="BD22" s="31" t="s">
        <v>9</v>
      </c>
      <c r="BE22" s="31" t="s">
        <v>10</v>
      </c>
    </row>
    <row r="23" spans="1:58" ht="15">
      <c r="A23" s="4"/>
      <c r="B23" s="9" t="s">
        <v>11</v>
      </c>
      <c r="C23" s="16"/>
      <c r="D23" s="18"/>
      <c r="E23" s="12">
        <f>C26</f>
        <v>8019.7200000000012</v>
      </c>
      <c r="F23" s="12">
        <v>0</v>
      </c>
      <c r="H23" s="12">
        <f>E26</f>
        <v>10680</v>
      </c>
      <c r="I23" s="12">
        <f>F26</f>
        <v>6900</v>
      </c>
      <c r="K23" s="12">
        <f>H26</f>
        <v>14779.569999999992</v>
      </c>
      <c r="L23" s="12">
        <f>I26</f>
        <v>1153.4899999999998</v>
      </c>
      <c r="N23" s="12">
        <f>K26</f>
        <v>12059.580000000002</v>
      </c>
      <c r="O23" s="12">
        <f>L26</f>
        <v>-10050.770000000004</v>
      </c>
      <c r="Q23" s="12">
        <f>N26</f>
        <v>6267.5200000000041</v>
      </c>
      <c r="R23" s="12">
        <f>O26</f>
        <v>-4506.5600000000049</v>
      </c>
      <c r="T23" s="12">
        <f>Q26</f>
        <v>2815.179999999993</v>
      </c>
      <c r="U23" s="12">
        <f>R26</f>
        <v>937.92999999999483</v>
      </c>
      <c r="W23" s="12">
        <f>T26</f>
        <v>1356.7599999999802</v>
      </c>
      <c r="X23" s="12">
        <f>U26</f>
        <v>0</v>
      </c>
      <c r="Z23" s="12">
        <f>W26</f>
        <v>5433.199999999968</v>
      </c>
      <c r="AA23" s="12">
        <f>X26</f>
        <v>0</v>
      </c>
      <c r="AC23" s="12">
        <f>Z26</f>
        <v>6532.8399999999674</v>
      </c>
      <c r="AD23" s="12">
        <f>AA26</f>
        <v>0</v>
      </c>
      <c r="AF23" s="12">
        <f>AC26</f>
        <v>5371.9099999999598</v>
      </c>
      <c r="AG23" s="12">
        <f>AD26</f>
        <v>0</v>
      </c>
      <c r="AI23" s="12">
        <f>AF26</f>
        <v>27188.429999999964</v>
      </c>
      <c r="AJ23" s="12">
        <f>AG26</f>
        <v>0</v>
      </c>
      <c r="AL23" s="12">
        <f>AI26</f>
        <v>9882.6199999999662</v>
      </c>
      <c r="AM23" s="12">
        <f>AJ26</f>
        <v>0</v>
      </c>
      <c r="AO23" s="12">
        <f>AL26</f>
        <v>24202.72999999996</v>
      </c>
      <c r="AP23" s="12">
        <f>AM26</f>
        <v>0</v>
      </c>
      <c r="AR23" s="12">
        <f>AO26</f>
        <v>23839.319999999963</v>
      </c>
      <c r="AS23" s="12">
        <f>AP26</f>
        <v>0</v>
      </c>
      <c r="AU23" s="12">
        <f>AR26</f>
        <v>2864.4099999999598</v>
      </c>
      <c r="AV23" s="12">
        <f>AS26</f>
        <v>0</v>
      </c>
      <c r="AX23" s="12">
        <f>AU26</f>
        <v>1150.1599999999526</v>
      </c>
      <c r="AY23" s="12">
        <f>AV26</f>
        <v>0</v>
      </c>
      <c r="BA23" s="44">
        <f>AX26</f>
        <v>12587.569999999956</v>
      </c>
      <c r="BB23" s="44">
        <f>AY26</f>
        <v>5364.7900000000009</v>
      </c>
      <c r="BD23" s="32">
        <f>BA26</f>
        <v>49653.309999999969</v>
      </c>
      <c r="BE23" s="32">
        <f>BB26</f>
        <v>5364.7900000000009</v>
      </c>
      <c r="BF23" s="29"/>
    </row>
    <row r="24" spans="1:58" ht="15">
      <c r="A24" s="5"/>
      <c r="B24" s="9" t="s">
        <v>13</v>
      </c>
      <c r="C24" s="12">
        <v>152761.59</v>
      </c>
      <c r="D24" s="19"/>
      <c r="E24" s="12">
        <v>71085.41</v>
      </c>
      <c r="F24" s="12">
        <v>6900</v>
      </c>
      <c r="H24" s="12">
        <v>72831.89</v>
      </c>
      <c r="I24" s="12">
        <v>5568.4</v>
      </c>
      <c r="K24" s="12">
        <v>68402.44</v>
      </c>
      <c r="L24" s="12">
        <v>64463.7</v>
      </c>
      <c r="N24" s="12">
        <f>13866.28+50145.86</f>
        <v>64012.14</v>
      </c>
      <c r="O24" s="12">
        <f>17000+5544.21</f>
        <v>22544.21</v>
      </c>
      <c r="Q24" s="12">
        <f>13885.31+60702.56</f>
        <v>74587.87</v>
      </c>
      <c r="R24" s="12">
        <v>5444.49</v>
      </c>
      <c r="T24" s="12">
        <f>14286.82+64746.92</f>
        <v>79033.739999999991</v>
      </c>
      <c r="U24" s="12">
        <f>7634+1662.07</f>
        <v>9296.07</v>
      </c>
      <c r="W24" s="12">
        <f>61094.86+14007.79</f>
        <v>75102.649999999994</v>
      </c>
      <c r="X24" s="12"/>
      <c r="Z24" s="12">
        <f>15092.23+62316.76</f>
        <v>77408.990000000005</v>
      </c>
      <c r="AA24" s="12">
        <v>8066.67</v>
      </c>
      <c r="AC24" s="37">
        <f>14167.12+57647.55</f>
        <v>71814.67</v>
      </c>
      <c r="AD24" s="37">
        <v>31844.28</v>
      </c>
      <c r="AE24" s="29"/>
      <c r="AF24" s="37">
        <f>22531.5+64833</f>
        <v>87364.5</v>
      </c>
      <c r="AG24" s="37"/>
      <c r="AI24" s="12">
        <f>12364.84+50918.57</f>
        <v>63283.41</v>
      </c>
      <c r="AJ24" s="12"/>
      <c r="AL24" s="12">
        <f>11917.34+66811.48</f>
        <v>78728.819999999992</v>
      </c>
      <c r="AM24" s="12"/>
      <c r="AO24" s="12">
        <f>11206.62+58245.58</f>
        <v>69452.2</v>
      </c>
      <c r="AP24" s="12">
        <v>4400</v>
      </c>
      <c r="AR24" s="12">
        <f>11314.08+30768.59</f>
        <v>42082.67</v>
      </c>
      <c r="AS24" s="12"/>
      <c r="AU24" s="12">
        <f>11735.16+45395.13</f>
        <v>57130.289999999994</v>
      </c>
      <c r="AV24" s="12"/>
      <c r="AX24" s="12">
        <f>11008.68+38975.98</f>
        <v>49984.66</v>
      </c>
      <c r="AY24" s="12">
        <f>23933.8+5364.79</f>
        <v>29298.59</v>
      </c>
      <c r="BA24" s="44">
        <f>8615.06+69137.96</f>
        <v>77753.02</v>
      </c>
      <c r="BB24" s="44">
        <v>0</v>
      </c>
      <c r="BD24" s="32">
        <f>6364.07</f>
        <v>6364.07</v>
      </c>
      <c r="BE24" s="32">
        <f>203539.97</f>
        <v>203539.97</v>
      </c>
    </row>
    <row r="25" spans="1:58" ht="15">
      <c r="A25" s="5"/>
      <c r="B25" s="9" t="s">
        <v>12</v>
      </c>
      <c r="C25" s="13">
        <v>144741.87</v>
      </c>
      <c r="D25" s="19"/>
      <c r="E25" s="13">
        <v>68425.13</v>
      </c>
      <c r="F25" s="13">
        <v>0</v>
      </c>
      <c r="H25" s="13">
        <v>68732.320000000007</v>
      </c>
      <c r="I25" s="13">
        <v>11314.91</v>
      </c>
      <c r="K25" s="13">
        <v>71122.429999999993</v>
      </c>
      <c r="L25" s="13">
        <v>75667.960000000006</v>
      </c>
      <c r="N25" s="13">
        <f>64259.99+5544.21</f>
        <v>69804.2</v>
      </c>
      <c r="O25" s="13">
        <v>17000</v>
      </c>
      <c r="Q25" s="13">
        <f>72595.72+5444.49</f>
        <v>78040.210000000006</v>
      </c>
      <c r="R25" s="13"/>
      <c r="T25" s="13">
        <f>78830.09+1662.07</f>
        <v>80492.160000000003</v>
      </c>
      <c r="U25" s="13">
        <f>10234</f>
        <v>10234</v>
      </c>
      <c r="W25" s="13">
        <v>71026.210000000006</v>
      </c>
      <c r="X25" s="13"/>
      <c r="Z25" s="13">
        <v>76309.350000000006</v>
      </c>
      <c r="AA25" s="13">
        <v>8066.67</v>
      </c>
      <c r="AC25" s="13">
        <f>72975.6</f>
        <v>72975.600000000006</v>
      </c>
      <c r="AD25" s="13">
        <v>31844.28</v>
      </c>
      <c r="AE25" s="29"/>
      <c r="AF25" s="13">
        <v>65547.98</v>
      </c>
      <c r="AG25" s="13"/>
      <c r="AI25" s="13">
        <v>80589.22</v>
      </c>
      <c r="AJ25" s="13"/>
      <c r="AL25" s="13">
        <v>64408.71</v>
      </c>
      <c r="AM25" s="13"/>
      <c r="AO25" s="13">
        <f>65415.61+4400</f>
        <v>69815.61</v>
      </c>
      <c r="AP25" s="13">
        <v>4400</v>
      </c>
      <c r="AR25" s="13">
        <v>63057.58</v>
      </c>
      <c r="AS25" s="13"/>
      <c r="AU25" s="13">
        <f>58844.54</f>
        <v>58844.54</v>
      </c>
      <c r="AV25" s="13"/>
      <c r="AX25" s="13">
        <f>33182.46+5364.79</f>
        <v>38547.25</v>
      </c>
      <c r="AY25" s="13">
        <v>23933.8</v>
      </c>
      <c r="BA25" s="45">
        <f>40687.28</f>
        <v>40687.279999999999</v>
      </c>
      <c r="BB25" s="45">
        <v>0</v>
      </c>
      <c r="BD25" s="33">
        <f>46812.75-25104.56</f>
        <v>21708.19</v>
      </c>
      <c r="BE25" s="33">
        <v>208944.2</v>
      </c>
    </row>
    <row r="26" spans="1:58" ht="16.5" thickBot="1">
      <c r="A26" s="6"/>
      <c r="B26" s="10" t="s">
        <v>5</v>
      </c>
      <c r="C26" s="14">
        <f>C24-C25</f>
        <v>8019.7200000000012</v>
      </c>
      <c r="D26" s="20"/>
      <c r="E26" s="14">
        <f>E23+E24-E25</f>
        <v>10680</v>
      </c>
      <c r="F26" s="14">
        <f>F24-F25</f>
        <v>6900</v>
      </c>
      <c r="H26" s="14">
        <f>H23+H24-H25</f>
        <v>14779.569999999992</v>
      </c>
      <c r="I26" s="14">
        <f>I23+I24-I25</f>
        <v>1153.4899999999998</v>
      </c>
      <c r="K26" s="14">
        <f>K23+K24-K25</f>
        <v>12059.580000000002</v>
      </c>
      <c r="L26" s="14">
        <f>L23+L24-L25</f>
        <v>-10050.770000000004</v>
      </c>
      <c r="N26" s="14">
        <f>N23+N24-N25</f>
        <v>6267.5200000000041</v>
      </c>
      <c r="O26" s="14">
        <f>O23+O24-O25</f>
        <v>-4506.5600000000049</v>
      </c>
      <c r="Q26" s="14">
        <f>Q23+Q24-Q25</f>
        <v>2815.179999999993</v>
      </c>
      <c r="R26" s="14">
        <f>R23+R24-R25</f>
        <v>937.92999999999483</v>
      </c>
      <c r="T26" s="14">
        <f>T23+T24-T25</f>
        <v>1356.7599999999802</v>
      </c>
      <c r="U26" s="14">
        <f>U23+U24-U25</f>
        <v>0</v>
      </c>
      <c r="W26" s="14">
        <f>W23+W24-W25</f>
        <v>5433.199999999968</v>
      </c>
      <c r="X26" s="14">
        <f>X23+X24-X25</f>
        <v>0</v>
      </c>
      <c r="Z26" s="14">
        <f>Z23+Z24-Z25</f>
        <v>6532.8399999999674</v>
      </c>
      <c r="AA26" s="14">
        <f>AA23+AA24-AA25</f>
        <v>0</v>
      </c>
      <c r="AC26" s="38">
        <f>AC23+AC24-AC25</f>
        <v>5371.9099999999598</v>
      </c>
      <c r="AD26" s="38">
        <f>AD23+AD24-AD25</f>
        <v>0</v>
      </c>
      <c r="AE26" s="29"/>
      <c r="AF26" s="38">
        <f>AF23+AF24-AF25</f>
        <v>27188.429999999964</v>
      </c>
      <c r="AG26" s="38">
        <f>AG23+AG24-AG25</f>
        <v>0</v>
      </c>
      <c r="AI26" s="14">
        <f>AI23+AI24-AI25</f>
        <v>9882.6199999999662</v>
      </c>
      <c r="AJ26" s="14">
        <f>AJ23+AJ24-AJ25</f>
        <v>0</v>
      </c>
      <c r="AL26" s="14">
        <f>AL23+AL24-AL25</f>
        <v>24202.72999999996</v>
      </c>
      <c r="AM26" s="14">
        <f>AM23+AM24-AM25</f>
        <v>0</v>
      </c>
      <c r="AO26" s="14">
        <f>AO23+AO24-AO25</f>
        <v>23839.319999999963</v>
      </c>
      <c r="AP26" s="14">
        <f>AP23+AP24-AP25</f>
        <v>0</v>
      </c>
      <c r="AR26" s="14">
        <f>AR23+AR24-AR25</f>
        <v>2864.4099999999598</v>
      </c>
      <c r="AS26" s="14">
        <f>AS23+AS24-AS25</f>
        <v>0</v>
      </c>
      <c r="AU26" s="14">
        <f>AU23+AU24-AU25</f>
        <v>1150.1599999999526</v>
      </c>
      <c r="AV26" s="14">
        <f>AV23+AV24-AV25</f>
        <v>0</v>
      </c>
      <c r="AX26" s="14">
        <f>AX23+AX24-AX25</f>
        <v>12587.569999999956</v>
      </c>
      <c r="AY26" s="14">
        <f>AY23+AY24-AY25</f>
        <v>5364.7900000000009</v>
      </c>
      <c r="BA26" s="46">
        <f>BA23+BA24-BA25</f>
        <v>49653.309999999969</v>
      </c>
      <c r="BB26" s="46">
        <f>BB23+BB24-BB25</f>
        <v>5364.7900000000009</v>
      </c>
      <c r="BD26" s="34">
        <f>BD23+BD24-BD25</f>
        <v>34309.189999999973</v>
      </c>
      <c r="BE26" s="34">
        <f>BE23+BE24-BE25</f>
        <v>-39.440000000002328</v>
      </c>
    </row>
    <row r="27" spans="1:58" ht="15">
      <c r="A27" s="7" t="s">
        <v>8</v>
      </c>
      <c r="B27" s="8" t="s">
        <v>4</v>
      </c>
      <c r="C27" s="23">
        <v>39455</v>
      </c>
      <c r="D27" s="18"/>
      <c r="E27" s="58">
        <v>39847</v>
      </c>
      <c r="F27" s="59"/>
      <c r="H27" s="58">
        <v>40253</v>
      </c>
      <c r="I27" s="59"/>
      <c r="K27" s="58">
        <v>40618</v>
      </c>
      <c r="L27" s="59"/>
      <c r="N27" s="58">
        <v>40925</v>
      </c>
      <c r="O27" s="59"/>
      <c r="Q27" s="58">
        <v>41302</v>
      </c>
      <c r="R27" s="59"/>
      <c r="T27" s="58">
        <v>41668</v>
      </c>
      <c r="U27" s="59"/>
      <c r="W27" s="58">
        <v>42030</v>
      </c>
      <c r="X27" s="59"/>
      <c r="Z27" s="58">
        <v>42380</v>
      </c>
      <c r="AA27" s="59"/>
      <c r="AC27" s="66">
        <v>42744</v>
      </c>
      <c r="AD27" s="67"/>
      <c r="AE27" s="29"/>
      <c r="AF27" s="66">
        <v>43116</v>
      </c>
      <c r="AG27" s="67"/>
      <c r="AI27" s="58">
        <v>43482</v>
      </c>
      <c r="AJ27" s="59"/>
      <c r="AL27" s="58">
        <v>43872</v>
      </c>
      <c r="AM27" s="59"/>
      <c r="AO27" s="58">
        <v>44252</v>
      </c>
      <c r="AP27" s="59"/>
      <c r="AR27" s="58">
        <v>44620</v>
      </c>
      <c r="AS27" s="59"/>
      <c r="AU27" s="58">
        <v>44985</v>
      </c>
      <c r="AV27" s="59"/>
      <c r="AX27" s="58">
        <v>45349</v>
      </c>
      <c r="AY27" s="59"/>
      <c r="BA27" s="58">
        <v>45684</v>
      </c>
      <c r="BB27" s="59"/>
      <c r="BD27" s="64"/>
      <c r="BE27" s="65"/>
    </row>
    <row r="28" spans="1:58" ht="15">
      <c r="A28" s="4"/>
      <c r="B28" s="9"/>
      <c r="C28" s="15"/>
      <c r="D28" s="18"/>
      <c r="E28" s="15" t="s">
        <v>9</v>
      </c>
      <c r="F28" s="15" t="s">
        <v>10</v>
      </c>
      <c r="H28" s="15" t="s">
        <v>9</v>
      </c>
      <c r="I28" s="15" t="s">
        <v>10</v>
      </c>
      <c r="K28" s="15" t="s">
        <v>9</v>
      </c>
      <c r="L28" s="15" t="s">
        <v>10</v>
      </c>
      <c r="N28" s="15" t="s">
        <v>9</v>
      </c>
      <c r="O28" s="15" t="s">
        <v>10</v>
      </c>
      <c r="Q28" s="15" t="s">
        <v>9</v>
      </c>
      <c r="R28" s="15" t="s">
        <v>10</v>
      </c>
      <c r="T28" s="15" t="s">
        <v>9</v>
      </c>
      <c r="U28" s="15" t="s">
        <v>10</v>
      </c>
      <c r="W28" s="15" t="s">
        <v>9</v>
      </c>
      <c r="X28" s="15" t="s">
        <v>10</v>
      </c>
      <c r="Z28" s="15" t="s">
        <v>9</v>
      </c>
      <c r="AA28" s="15" t="s">
        <v>10</v>
      </c>
      <c r="AC28" s="15" t="s">
        <v>9</v>
      </c>
      <c r="AD28" s="15" t="s">
        <v>10</v>
      </c>
      <c r="AF28" s="15" t="s">
        <v>9</v>
      </c>
      <c r="AG28" s="15" t="s">
        <v>10</v>
      </c>
      <c r="AI28" s="15" t="s">
        <v>9</v>
      </c>
      <c r="AJ28" s="15" t="s">
        <v>10</v>
      </c>
      <c r="AL28" s="15" t="s">
        <v>9</v>
      </c>
      <c r="AM28" s="15" t="s">
        <v>10</v>
      </c>
      <c r="AO28" s="15" t="s">
        <v>9</v>
      </c>
      <c r="AP28" s="15" t="s">
        <v>10</v>
      </c>
      <c r="AR28" s="15" t="s">
        <v>9</v>
      </c>
      <c r="AS28" s="15" t="s">
        <v>10</v>
      </c>
      <c r="AU28" s="15" t="s">
        <v>9</v>
      </c>
      <c r="AV28" s="15" t="s">
        <v>10</v>
      </c>
      <c r="AX28" s="15" t="s">
        <v>9</v>
      </c>
      <c r="AY28" s="15" t="s">
        <v>10</v>
      </c>
      <c r="BA28" s="43" t="s">
        <v>9</v>
      </c>
      <c r="BB28" s="43" t="s">
        <v>10</v>
      </c>
      <c r="BD28" s="31" t="s">
        <v>9</v>
      </c>
      <c r="BE28" s="31" t="s">
        <v>10</v>
      </c>
    </row>
    <row r="29" spans="1:58" ht="15">
      <c r="A29" s="4"/>
      <c r="B29" s="9" t="s">
        <v>11</v>
      </c>
      <c r="C29" s="16"/>
      <c r="D29" s="18"/>
      <c r="E29" s="12">
        <f>C32</f>
        <v>11459.150000000001</v>
      </c>
      <c r="F29" s="12">
        <v>0</v>
      </c>
      <c r="H29" s="12">
        <f>E32</f>
        <v>11087.980000000007</v>
      </c>
      <c r="I29" s="12">
        <f>F32</f>
        <v>0</v>
      </c>
      <c r="K29" s="12">
        <f>H32</f>
        <v>12942.950000000008</v>
      </c>
      <c r="L29" s="12">
        <f>I32</f>
        <v>0</v>
      </c>
      <c r="N29" s="12">
        <f>K32</f>
        <v>13024.740000000009</v>
      </c>
      <c r="O29" s="12">
        <f>L32</f>
        <v>0</v>
      </c>
      <c r="Q29" s="12">
        <f>N32</f>
        <v>11541.880000000012</v>
      </c>
      <c r="R29" s="12">
        <f>O32</f>
        <v>0</v>
      </c>
      <c r="T29" s="12">
        <f>Q32</f>
        <v>10882.830000000013</v>
      </c>
      <c r="U29" s="12">
        <f>R32</f>
        <v>0</v>
      </c>
      <c r="W29" s="12">
        <f>T32</f>
        <v>15648.67000000002</v>
      </c>
      <c r="X29" s="12">
        <f>U32</f>
        <v>1408.3999999999942</v>
      </c>
      <c r="Z29" s="12">
        <f>W32</f>
        <v>20750.270000000019</v>
      </c>
      <c r="AA29" s="12">
        <f>X32</f>
        <v>-5.9117155615240335E-12</v>
      </c>
      <c r="AC29" s="12">
        <f>Z32</f>
        <v>17863.930000000015</v>
      </c>
      <c r="AD29" s="12">
        <f>AA32</f>
        <v>-5.9117155615240335E-12</v>
      </c>
      <c r="AF29" s="12">
        <f>AC32</f>
        <v>14722.130000000016</v>
      </c>
      <c r="AG29" s="12">
        <f>AD32</f>
        <v>-5.9117155615240335E-12</v>
      </c>
      <c r="AI29" s="12">
        <f>AF32</f>
        <v>15071.51000000002</v>
      </c>
      <c r="AJ29" s="12">
        <f>AG32</f>
        <v>-5.9117155615240335E-12</v>
      </c>
      <c r="AL29" s="12">
        <f>AI32</f>
        <v>17416.85000000002</v>
      </c>
      <c r="AM29" s="12">
        <f>AJ32</f>
        <v>19917.019999999993</v>
      </c>
      <c r="AO29" s="12">
        <f>AL32</f>
        <v>20374.820000000022</v>
      </c>
      <c r="AP29" s="12">
        <f>AM32</f>
        <v>19917.019999999993</v>
      </c>
      <c r="AR29" s="12">
        <f>AO32</f>
        <v>11827.550000000017</v>
      </c>
      <c r="AS29" s="12">
        <f>AP32</f>
        <v>19917.019999999993</v>
      </c>
      <c r="AU29" s="12">
        <f>AR32</f>
        <v>10549.690000000017</v>
      </c>
      <c r="AV29" s="12">
        <f>AS32</f>
        <v>19917.019999999993</v>
      </c>
      <c r="AX29" s="12">
        <f>AU32</f>
        <v>8323.2900000000154</v>
      </c>
      <c r="AY29" s="12">
        <f>AV32</f>
        <v>19917.019999999993</v>
      </c>
      <c r="BA29" s="44">
        <f>AX32</f>
        <v>21533.590000000018</v>
      </c>
      <c r="BB29" s="47">
        <f>AY32</f>
        <v>19917.019999999993</v>
      </c>
      <c r="BD29" s="32">
        <f>BA32</f>
        <v>22557.270000000019</v>
      </c>
      <c r="BE29" s="32">
        <f>BB32</f>
        <v>-6170.3</v>
      </c>
    </row>
    <row r="30" spans="1:58" ht="15">
      <c r="A30" s="5"/>
      <c r="B30" s="9" t="s">
        <v>13</v>
      </c>
      <c r="C30" s="12">
        <v>37980.47</v>
      </c>
      <c r="D30" s="19"/>
      <c r="E30" s="12">
        <v>25718.81</v>
      </c>
      <c r="F30" s="12">
        <v>0</v>
      </c>
      <c r="H30" s="12">
        <f>3689.9+24409.12</f>
        <v>28099.02</v>
      </c>
      <c r="I30" s="12">
        <v>7039.78</v>
      </c>
      <c r="K30" s="12">
        <f>3204.3+23197.68</f>
        <v>26401.98</v>
      </c>
      <c r="L30" s="12"/>
      <c r="N30" s="12">
        <f>2369.11+22604.2</f>
        <v>24973.31</v>
      </c>
      <c r="O30" s="12"/>
      <c r="Q30" s="12">
        <f>1900.4+25224.89</f>
        <v>27125.29</v>
      </c>
      <c r="R30" s="12"/>
      <c r="T30" s="12">
        <f>1832.65+32791.23</f>
        <v>34623.880000000005</v>
      </c>
      <c r="U30" s="12">
        <v>59077.31</v>
      </c>
      <c r="W30" s="12">
        <f>31394.94+938.44</f>
        <v>32333.379999999997</v>
      </c>
      <c r="X30" s="12"/>
      <c r="Z30" s="12">
        <f>1442.48+24318.39</f>
        <v>25760.87</v>
      </c>
      <c r="AA30" s="12"/>
      <c r="AC30" s="12">
        <f>1590.34+23914.34</f>
        <v>25504.68</v>
      </c>
      <c r="AD30" s="12"/>
      <c r="AF30" s="12">
        <f>1543.88+27897.73</f>
        <v>29441.61</v>
      </c>
      <c r="AG30" s="12"/>
      <c r="AI30" s="12">
        <f>1947.13+27656.85</f>
        <v>29603.98</v>
      </c>
      <c r="AJ30" s="12">
        <v>19917.02</v>
      </c>
      <c r="AL30" s="12">
        <f>1197.58+27726.35</f>
        <v>28923.93</v>
      </c>
      <c r="AM30" s="12"/>
      <c r="AO30" s="12">
        <f>1287.33+17420.69</f>
        <v>18708.019999999997</v>
      </c>
      <c r="AP30" s="12"/>
      <c r="AR30" s="12">
        <f>1164.91+14384.38</f>
        <v>15549.289999999999</v>
      </c>
      <c r="AS30" s="12"/>
      <c r="AU30" s="12">
        <f>1202.78+23284.28</f>
        <v>24487.059999999998</v>
      </c>
      <c r="AV30" s="12"/>
      <c r="AX30" s="12">
        <f>228.61+19148.79</f>
        <v>19377.400000000001</v>
      </c>
      <c r="AY30" s="12"/>
      <c r="BA30" s="44">
        <f>476.59+24407.42</f>
        <v>24884.01</v>
      </c>
      <c r="BB30" s="52"/>
      <c r="BD30" s="32">
        <v>326.7</v>
      </c>
      <c r="BE30" s="32"/>
    </row>
    <row r="31" spans="1:58" ht="15">
      <c r="A31" s="5"/>
      <c r="B31" s="9" t="s">
        <v>12</v>
      </c>
      <c r="C31" s="13">
        <v>26521.32</v>
      </c>
      <c r="D31" s="19"/>
      <c r="E31" s="13">
        <v>26089.98</v>
      </c>
      <c r="F31" s="13">
        <v>0</v>
      </c>
      <c r="H31" s="13">
        <v>26244.05</v>
      </c>
      <c r="I31" s="13">
        <v>7039.78</v>
      </c>
      <c r="K31" s="13">
        <v>26320.19</v>
      </c>
      <c r="L31" s="13"/>
      <c r="N31" s="13">
        <f>26456.17</f>
        <v>26456.17</v>
      </c>
      <c r="O31" s="13"/>
      <c r="Q31" s="13">
        <f>27784.34</f>
        <v>27784.34</v>
      </c>
      <c r="R31" s="13"/>
      <c r="T31" s="13">
        <f>29858.04</f>
        <v>29858.04</v>
      </c>
      <c r="U31" s="13">
        <v>57668.91</v>
      </c>
      <c r="W31" s="13">
        <v>27231.78</v>
      </c>
      <c r="X31" s="13">
        <v>1408.4</v>
      </c>
      <c r="Z31" s="13">
        <v>28647.21</v>
      </c>
      <c r="AA31" s="13"/>
      <c r="AC31" s="13">
        <f>28646.48</f>
        <v>28646.48</v>
      </c>
      <c r="AD31" s="13"/>
      <c r="AF31" s="13">
        <f>29092.23</f>
        <v>29092.23</v>
      </c>
      <c r="AG31" s="13"/>
      <c r="AI31" s="13">
        <v>27258.639999999999</v>
      </c>
      <c r="AJ31" s="13"/>
      <c r="AL31" s="13">
        <v>25965.96</v>
      </c>
      <c r="AM31" s="13"/>
      <c r="AO31" s="13">
        <v>27255.29</v>
      </c>
      <c r="AP31" s="13"/>
      <c r="AR31" s="13">
        <v>16827.150000000001</v>
      </c>
      <c r="AS31" s="13"/>
      <c r="AU31" s="13">
        <f>26713.46</f>
        <v>26713.46</v>
      </c>
      <c r="AV31" s="13"/>
      <c r="AX31" s="13">
        <f>6167.1</f>
        <v>6167.1</v>
      </c>
      <c r="AY31" s="13"/>
      <c r="BA31" s="45">
        <f>23860.33</f>
        <v>23860.33</v>
      </c>
      <c r="BB31" s="53"/>
      <c r="BD31" s="33">
        <v>13567.79</v>
      </c>
      <c r="BE31" s="33"/>
    </row>
    <row r="32" spans="1:58" ht="16.5" thickBot="1">
      <c r="A32" s="6"/>
      <c r="B32" s="10" t="s">
        <v>5</v>
      </c>
      <c r="C32" s="14">
        <f>C30-C31</f>
        <v>11459.150000000001</v>
      </c>
      <c r="D32" s="20"/>
      <c r="E32" s="14">
        <f>E29+E30-E31</f>
        <v>11087.980000000007</v>
      </c>
      <c r="F32" s="14">
        <f>F30-F31</f>
        <v>0</v>
      </c>
      <c r="H32" s="14">
        <f>H29+H30-H31</f>
        <v>12942.950000000008</v>
      </c>
      <c r="I32" s="14">
        <f>I30-I31</f>
        <v>0</v>
      </c>
      <c r="K32" s="14">
        <f>K29+K30-K31</f>
        <v>13024.740000000009</v>
      </c>
      <c r="L32" s="14">
        <f>L30-L31</f>
        <v>0</v>
      </c>
      <c r="N32" s="14">
        <f>N29+N30-N31</f>
        <v>11541.880000000012</v>
      </c>
      <c r="O32" s="14">
        <f>O30-O31</f>
        <v>0</v>
      </c>
      <c r="Q32" s="14">
        <f>Q29+Q30-Q31</f>
        <v>10882.830000000013</v>
      </c>
      <c r="R32" s="14">
        <f>R30-R31</f>
        <v>0</v>
      </c>
      <c r="T32" s="14">
        <f>T29+T30-T31</f>
        <v>15648.67000000002</v>
      </c>
      <c r="U32" s="14">
        <f>U30-U31</f>
        <v>1408.3999999999942</v>
      </c>
      <c r="W32" s="14">
        <f>W29+W30-W31</f>
        <v>20750.270000000019</v>
      </c>
      <c r="X32" s="14">
        <f>X29+X30-X31</f>
        <v>-5.9117155615240335E-12</v>
      </c>
      <c r="Z32" s="14">
        <f>Z29+Z30-Z31</f>
        <v>17863.930000000015</v>
      </c>
      <c r="AA32" s="14">
        <f>AA29+AA30-AA31</f>
        <v>-5.9117155615240335E-12</v>
      </c>
      <c r="AC32" s="14">
        <f>AC29+AC30-AC31</f>
        <v>14722.130000000016</v>
      </c>
      <c r="AD32" s="14">
        <f>AD29+AD30-AD31</f>
        <v>-5.9117155615240335E-12</v>
      </c>
      <c r="AF32" s="14">
        <f>AF29+AF30-AF31</f>
        <v>15071.51000000002</v>
      </c>
      <c r="AG32" s="14">
        <f>AG29+AG30-AG31</f>
        <v>-5.9117155615240335E-12</v>
      </c>
      <c r="AI32" s="14">
        <f>AI29+AI30-AI31</f>
        <v>17416.85000000002</v>
      </c>
      <c r="AJ32" s="14">
        <f>AJ29+AJ30-AJ31</f>
        <v>19917.019999999993</v>
      </c>
      <c r="AL32" s="14">
        <f>AL29+AL30-AL31</f>
        <v>20374.820000000022</v>
      </c>
      <c r="AM32" s="14">
        <f>AM29+AM30-AM31</f>
        <v>19917.019999999993</v>
      </c>
      <c r="AO32" s="14">
        <f>AO29+AO30-AO31</f>
        <v>11827.550000000017</v>
      </c>
      <c r="AP32" s="14">
        <f>AP29+AP30-AP31</f>
        <v>19917.019999999993</v>
      </c>
      <c r="AR32" s="14">
        <f>AR29+AR30-AR31</f>
        <v>10549.690000000017</v>
      </c>
      <c r="AS32" s="14">
        <f>AS29+AS30-AS31</f>
        <v>19917.019999999993</v>
      </c>
      <c r="AU32" s="14">
        <f>AU29+AU30-AU31</f>
        <v>8323.2900000000154</v>
      </c>
      <c r="AV32" s="14">
        <f>AV29+AV30-AV31</f>
        <v>19917.019999999993</v>
      </c>
      <c r="AX32" s="14">
        <f>AX29+AX30-AX31</f>
        <v>21533.590000000018</v>
      </c>
      <c r="AY32" s="14">
        <f>AY29+AY30-AY31</f>
        <v>19917.019999999993</v>
      </c>
      <c r="BA32" s="46">
        <f>BA29+BA30-BA31</f>
        <v>22557.270000000019</v>
      </c>
      <c r="BB32" s="57">
        <f>-6170.3</f>
        <v>-6170.3</v>
      </c>
      <c r="BD32" s="34">
        <f>BD29+BD30-BD31</f>
        <v>9316.1800000000185</v>
      </c>
      <c r="BE32" s="34">
        <f>BE29+BE30-BE31</f>
        <v>-6170.3</v>
      </c>
    </row>
    <row r="33" spans="1:58" ht="15">
      <c r="A33" s="7" t="s">
        <v>21</v>
      </c>
      <c r="B33" s="8" t="s">
        <v>4</v>
      </c>
      <c r="C33" s="23">
        <v>39490</v>
      </c>
      <c r="D33" s="18"/>
      <c r="E33" s="58">
        <v>39861</v>
      </c>
      <c r="F33" s="59"/>
      <c r="H33" s="58">
        <v>40177</v>
      </c>
      <c r="I33" s="59"/>
      <c r="K33" s="58">
        <v>40618</v>
      </c>
      <c r="L33" s="59"/>
      <c r="N33" s="58">
        <v>40976</v>
      </c>
      <c r="O33" s="59"/>
      <c r="Q33" s="58">
        <v>41274</v>
      </c>
      <c r="R33" s="59"/>
      <c r="T33" s="58">
        <v>41676</v>
      </c>
      <c r="U33" s="59"/>
      <c r="W33" s="58">
        <v>42048</v>
      </c>
      <c r="X33" s="59"/>
      <c r="Z33" s="58">
        <v>42426</v>
      </c>
      <c r="AA33" s="59"/>
      <c r="AC33" s="58">
        <v>42783</v>
      </c>
      <c r="AD33" s="59"/>
      <c r="AF33" s="58">
        <v>43158</v>
      </c>
      <c r="AG33" s="59"/>
      <c r="AI33" s="58">
        <v>43508</v>
      </c>
      <c r="AJ33" s="59"/>
      <c r="AL33" s="58">
        <v>43496</v>
      </c>
      <c r="AM33" s="59"/>
      <c r="AO33" s="58">
        <v>44223</v>
      </c>
      <c r="AP33" s="59"/>
      <c r="AR33" s="58">
        <v>44617</v>
      </c>
      <c r="AS33" s="59"/>
      <c r="AU33" s="58">
        <v>44972</v>
      </c>
      <c r="AV33" s="59"/>
      <c r="AX33" s="58">
        <v>45332</v>
      </c>
      <c r="AY33" s="59"/>
      <c r="BA33" s="58">
        <v>45715</v>
      </c>
      <c r="BB33" s="59"/>
      <c r="BD33" s="64"/>
      <c r="BE33" s="65"/>
    </row>
    <row r="34" spans="1:58" ht="15">
      <c r="A34" s="4"/>
      <c r="B34" s="9"/>
      <c r="C34" s="15"/>
      <c r="D34" s="18"/>
      <c r="E34" s="15" t="s">
        <v>9</v>
      </c>
      <c r="F34" s="15" t="s">
        <v>10</v>
      </c>
      <c r="H34" s="15" t="s">
        <v>9</v>
      </c>
      <c r="I34" s="15" t="s">
        <v>10</v>
      </c>
      <c r="K34" s="15" t="s">
        <v>9</v>
      </c>
      <c r="L34" s="15" t="s">
        <v>10</v>
      </c>
      <c r="N34" s="15" t="s">
        <v>9</v>
      </c>
      <c r="O34" s="15" t="s">
        <v>10</v>
      </c>
      <c r="Q34" s="15" t="s">
        <v>9</v>
      </c>
      <c r="R34" s="15" t="s">
        <v>10</v>
      </c>
      <c r="T34" s="15" t="s">
        <v>9</v>
      </c>
      <c r="U34" s="15" t="s">
        <v>10</v>
      </c>
      <c r="W34" s="15" t="s">
        <v>9</v>
      </c>
      <c r="X34" s="15" t="s">
        <v>10</v>
      </c>
      <c r="Z34" s="15" t="s">
        <v>9</v>
      </c>
      <c r="AA34" s="15" t="s">
        <v>10</v>
      </c>
      <c r="AC34" s="15" t="s">
        <v>9</v>
      </c>
      <c r="AD34" s="15" t="s">
        <v>10</v>
      </c>
      <c r="AF34" s="15" t="s">
        <v>9</v>
      </c>
      <c r="AG34" s="15" t="s">
        <v>10</v>
      </c>
      <c r="AI34" s="15" t="s">
        <v>9</v>
      </c>
      <c r="AJ34" s="15" t="s">
        <v>10</v>
      </c>
      <c r="AL34" s="15" t="s">
        <v>9</v>
      </c>
      <c r="AM34" s="15" t="s">
        <v>10</v>
      </c>
      <c r="AO34" s="15" t="s">
        <v>9</v>
      </c>
      <c r="AP34" s="15" t="s">
        <v>10</v>
      </c>
      <c r="AR34" s="15" t="s">
        <v>9</v>
      </c>
      <c r="AS34" s="15" t="s">
        <v>10</v>
      </c>
      <c r="AU34" s="15" t="s">
        <v>9</v>
      </c>
      <c r="AV34" s="15" t="s">
        <v>10</v>
      </c>
      <c r="AX34" s="15" t="s">
        <v>9</v>
      </c>
      <c r="AY34" s="15" t="s">
        <v>10</v>
      </c>
      <c r="BA34" s="43" t="s">
        <v>9</v>
      </c>
      <c r="BB34" s="43" t="s">
        <v>10</v>
      </c>
      <c r="BD34" s="31" t="s">
        <v>9</v>
      </c>
      <c r="BE34" s="31" t="s">
        <v>10</v>
      </c>
    </row>
    <row r="35" spans="1:58" ht="15">
      <c r="A35" s="4"/>
      <c r="B35" s="9" t="s">
        <v>11</v>
      </c>
      <c r="C35" s="16"/>
      <c r="D35" s="18"/>
      <c r="E35" s="12">
        <f>C38</f>
        <v>7815.070000000007</v>
      </c>
      <c r="F35" s="12">
        <v>0</v>
      </c>
      <c r="H35" s="12">
        <f>E38</f>
        <v>30528.590000000004</v>
      </c>
      <c r="I35" s="12">
        <f>F38</f>
        <v>0</v>
      </c>
      <c r="K35" s="12">
        <f>H38</f>
        <v>38774.280000000013</v>
      </c>
      <c r="L35" s="12">
        <f>I38</f>
        <v>13489.549999999988</v>
      </c>
      <c r="N35" s="12">
        <f>K38</f>
        <v>17212.750000000015</v>
      </c>
      <c r="O35" s="12">
        <f>L38</f>
        <v>-4534.6900000000023</v>
      </c>
      <c r="Q35" s="12">
        <f>N38</f>
        <v>10865.310000000012</v>
      </c>
      <c r="R35" s="12">
        <f>O38</f>
        <v>1118.2899999999936</v>
      </c>
      <c r="T35" s="12">
        <f>Q38</f>
        <v>16409.860000000015</v>
      </c>
      <c r="U35" s="12">
        <f>R38</f>
        <v>0</v>
      </c>
      <c r="W35" s="12">
        <f>T38</f>
        <v>27669.910000000011</v>
      </c>
      <c r="X35" s="12">
        <f>U38</f>
        <v>0</v>
      </c>
      <c r="Z35" s="12">
        <f>W38</f>
        <v>29213.140000000007</v>
      </c>
      <c r="AA35" s="12">
        <f>X38</f>
        <v>0</v>
      </c>
      <c r="AC35" s="12">
        <f>Z38</f>
        <v>19025.270000000008</v>
      </c>
      <c r="AD35" s="12">
        <f>AA38</f>
        <v>0</v>
      </c>
      <c r="AF35" s="12">
        <f>AC38</f>
        <v>14490.59</v>
      </c>
      <c r="AG35" s="12">
        <f>AD38</f>
        <v>0</v>
      </c>
      <c r="AI35" s="12">
        <f>AF38</f>
        <v>10485.160000000003</v>
      </c>
      <c r="AJ35" s="12">
        <f>AG38</f>
        <v>0</v>
      </c>
      <c r="AL35" s="12">
        <f>AI38</f>
        <v>4424.5300000000061</v>
      </c>
      <c r="AM35" s="12">
        <f>AJ38</f>
        <v>690.26000000000204</v>
      </c>
      <c r="AO35" s="12">
        <f>AL38</f>
        <v>17278.940000000006</v>
      </c>
      <c r="AP35" s="12">
        <f>AM38</f>
        <v>2.0463630789890885E-12</v>
      </c>
      <c r="AR35" s="12">
        <f>AO38</f>
        <v>29654.770000000008</v>
      </c>
      <c r="AS35" s="12">
        <f>AP38</f>
        <v>2.0463630789890885E-12</v>
      </c>
      <c r="AU35" s="12">
        <f>AR38</f>
        <v>25597.140000000007</v>
      </c>
      <c r="AV35" s="12">
        <f>AS38</f>
        <v>0</v>
      </c>
      <c r="AX35" s="12">
        <f>AU38</f>
        <v>7469.0000000000146</v>
      </c>
      <c r="AY35" s="12">
        <f>AV38</f>
        <v>0</v>
      </c>
      <c r="BA35" s="44">
        <f>AX38</f>
        <v>-1191.6599999999853</v>
      </c>
      <c r="BB35" s="44">
        <f>AY38</f>
        <v>5000</v>
      </c>
      <c r="BD35" s="32">
        <f>BA38</f>
        <v>6543.640000000014</v>
      </c>
      <c r="BE35" s="32">
        <f>BB38</f>
        <v>0</v>
      </c>
      <c r="BF35" s="29"/>
    </row>
    <row r="36" spans="1:58" ht="15">
      <c r="A36" s="5"/>
      <c r="B36" s="9" t="s">
        <v>13</v>
      </c>
      <c r="C36" s="12">
        <v>91561.1</v>
      </c>
      <c r="D36" s="19"/>
      <c r="E36" s="12">
        <v>41784.06</v>
      </c>
      <c r="F36" s="12">
        <v>47631.14</v>
      </c>
      <c r="H36" s="12">
        <f>10924.76+33172.38</f>
        <v>44097.14</v>
      </c>
      <c r="I36" s="12">
        <v>79246.149999999994</v>
      </c>
      <c r="K36" s="12">
        <v>24757.25</v>
      </c>
      <c r="L36" s="12">
        <v>111651.49</v>
      </c>
      <c r="N36" s="12">
        <f>11938.93+27005.67</f>
        <v>38944.6</v>
      </c>
      <c r="O36" s="12">
        <f>41380+4167.99</f>
        <v>45547.99</v>
      </c>
      <c r="Q36" s="12">
        <f>22710.02+35741.56+2127.94</f>
        <v>60579.520000000004</v>
      </c>
      <c r="R36" s="12">
        <f>9293.48</f>
        <v>9293.48</v>
      </c>
      <c r="T36" s="12">
        <f>22102.74+36695.13</f>
        <v>58797.869999999995</v>
      </c>
      <c r="U36" s="12"/>
      <c r="W36" s="12">
        <f>31012.01+6782.94</f>
        <v>37794.949999999997</v>
      </c>
      <c r="X36" s="12"/>
      <c r="Z36" s="12">
        <f>6346.89+14445.08</f>
        <v>20791.97</v>
      </c>
      <c r="AA36" s="12"/>
      <c r="AC36" s="13">
        <f>10707.07+15513.38</f>
        <v>26220.449999999997</v>
      </c>
      <c r="AD36" s="12"/>
      <c r="AF36" s="13">
        <f>7342.6+25726.55</f>
        <v>33069.15</v>
      </c>
      <c r="AG36" s="12">
        <v>1815</v>
      </c>
      <c r="AI36" s="12">
        <f>7054.49+25986.84</f>
        <v>33041.33</v>
      </c>
      <c r="AJ36" s="12">
        <v>35664.370000000003</v>
      </c>
      <c r="AL36" s="13">
        <f>7585.4+32108.38</f>
        <v>39693.78</v>
      </c>
      <c r="AM36" s="12"/>
      <c r="AO36" s="13">
        <f>5568.26+29931.09</f>
        <v>35499.35</v>
      </c>
      <c r="AP36" s="12">
        <v>1343.47</v>
      </c>
      <c r="AR36" s="13">
        <f>6109.69+14636.72</f>
        <v>20746.41</v>
      </c>
      <c r="AS36" s="12">
        <v>3573.64</v>
      </c>
      <c r="AU36" s="13">
        <f>5697.94+2904.26</f>
        <v>8602.2000000000007</v>
      </c>
      <c r="AV36" s="12">
        <v>3550.92</v>
      </c>
      <c r="AX36" s="13">
        <f>10814.3+7610.2</f>
        <v>18424.5</v>
      </c>
      <c r="AY36" s="12">
        <f>5000+1874.34</f>
        <v>6874.34</v>
      </c>
      <c r="BA36" s="45">
        <f>5558.32+28293.82</f>
        <v>33852.14</v>
      </c>
      <c r="BB36" s="44">
        <v>3886.43</v>
      </c>
      <c r="BD36" s="32">
        <f>5532.45+31146.86</f>
        <v>36679.31</v>
      </c>
      <c r="BE36" s="32">
        <v>2630.93</v>
      </c>
    </row>
    <row r="37" spans="1:58" ht="15">
      <c r="A37" s="5"/>
      <c r="B37" s="9" t="s">
        <v>12</v>
      </c>
      <c r="C37" s="13">
        <v>83746.03</v>
      </c>
      <c r="D37" s="19"/>
      <c r="E37" s="13">
        <v>19070.54</v>
      </c>
      <c r="F37" s="13">
        <v>47631.14</v>
      </c>
      <c r="H37" s="13">
        <v>35851.449999999997</v>
      </c>
      <c r="I37" s="13">
        <v>65756.600000000006</v>
      </c>
      <c r="K37" s="13">
        <v>46318.78</v>
      </c>
      <c r="L37" s="13">
        <v>129675.73</v>
      </c>
      <c r="N37" s="13">
        <f>41124.05+4167.99</f>
        <v>45292.04</v>
      </c>
      <c r="O37" s="13">
        <f>39895.01</f>
        <v>39895.01</v>
      </c>
      <c r="Q37" s="13">
        <f>55034.97</f>
        <v>55034.97</v>
      </c>
      <c r="R37" s="13">
        <v>10411.77</v>
      </c>
      <c r="T37" s="13">
        <f>47537.82</f>
        <v>47537.82</v>
      </c>
      <c r="U37" s="13"/>
      <c r="W37" s="13">
        <v>36251.72</v>
      </c>
      <c r="X37" s="13"/>
      <c r="Z37" s="13">
        <v>30979.84</v>
      </c>
      <c r="AA37" s="13"/>
      <c r="AC37" s="13">
        <f>30755.13</f>
        <v>30755.13</v>
      </c>
      <c r="AD37" s="13"/>
      <c r="AF37" s="13">
        <v>37074.58</v>
      </c>
      <c r="AG37" s="13">
        <v>1815</v>
      </c>
      <c r="AI37" s="13">
        <v>39101.96</v>
      </c>
      <c r="AJ37" s="13">
        <v>34974.11</v>
      </c>
      <c r="AL37" s="13">
        <v>26839.37</v>
      </c>
      <c r="AM37" s="13">
        <v>690.26</v>
      </c>
      <c r="AO37" s="13">
        <f>21780.05+1343.47</f>
        <v>23123.52</v>
      </c>
      <c r="AP37" s="13">
        <v>1343.47</v>
      </c>
      <c r="AR37" s="13">
        <f>21230.4+3573.64</f>
        <v>24804.04</v>
      </c>
      <c r="AS37" s="13">
        <v>3573.64</v>
      </c>
      <c r="AU37" s="13">
        <f>23179.42+3550.92</f>
        <v>26730.339999999997</v>
      </c>
      <c r="AV37" s="13">
        <v>3550.92</v>
      </c>
      <c r="AX37" s="13">
        <f>25210.82+1874.34</f>
        <v>27085.16</v>
      </c>
      <c r="AY37" s="13">
        <v>1874.34</v>
      </c>
      <c r="BA37" s="45">
        <f>22230.41+3886.43</f>
        <v>26116.84</v>
      </c>
      <c r="BB37" s="45">
        <f>8886.43</f>
        <v>8886.43</v>
      </c>
      <c r="BD37" s="33">
        <f>22988.13+2630.93</f>
        <v>25619.06</v>
      </c>
      <c r="BE37" s="33">
        <v>2630.93</v>
      </c>
    </row>
    <row r="38" spans="1:58" ht="16.5" thickBot="1">
      <c r="A38" s="6"/>
      <c r="B38" s="10" t="s">
        <v>5</v>
      </c>
      <c r="C38" s="24">
        <f>C36-C37</f>
        <v>7815.070000000007</v>
      </c>
      <c r="D38" s="20"/>
      <c r="E38" s="14">
        <f>E35+E36-E37</f>
        <v>30528.590000000004</v>
      </c>
      <c r="F38" s="14">
        <f>F36-F37</f>
        <v>0</v>
      </c>
      <c r="H38" s="14">
        <f>H35+H36-H37</f>
        <v>38774.280000000013</v>
      </c>
      <c r="I38" s="14">
        <f>I36-I37</f>
        <v>13489.549999999988</v>
      </c>
      <c r="K38" s="14">
        <f>K35+K36-K37</f>
        <v>17212.750000000015</v>
      </c>
      <c r="L38" s="14">
        <f>L35+L36-L37</f>
        <v>-4534.6900000000023</v>
      </c>
      <c r="N38" s="14">
        <f>N35+N36-N37</f>
        <v>10865.310000000012</v>
      </c>
      <c r="O38" s="14">
        <f>O35+O36-O37</f>
        <v>1118.2899999999936</v>
      </c>
      <c r="Q38" s="14">
        <f>Q35+Q36-Q37</f>
        <v>16409.860000000015</v>
      </c>
      <c r="R38" s="14">
        <f>R35+R36-R37</f>
        <v>0</v>
      </c>
      <c r="T38" s="14">
        <f>T35+T36-T37</f>
        <v>27669.910000000011</v>
      </c>
      <c r="U38" s="14">
        <f>U35+U36-U37</f>
        <v>0</v>
      </c>
      <c r="W38" s="14">
        <f>W35+W36-W37</f>
        <v>29213.140000000007</v>
      </c>
      <c r="X38" s="14">
        <f>X35+X36-X37</f>
        <v>0</v>
      </c>
      <c r="Y38" t="s">
        <v>22</v>
      </c>
      <c r="Z38" s="14">
        <f>Z35+Z36-Z37</f>
        <v>19025.270000000008</v>
      </c>
      <c r="AA38" s="14">
        <f>AA35+AA36-AA37</f>
        <v>0</v>
      </c>
      <c r="AC38" s="14">
        <f>AC35+AC36-AC37</f>
        <v>14490.59</v>
      </c>
      <c r="AD38" s="14">
        <f>AD35+AD36-AD37</f>
        <v>0</v>
      </c>
      <c r="AF38" s="14">
        <f>AF35+AF36-AF37</f>
        <v>10485.160000000003</v>
      </c>
      <c r="AG38" s="14">
        <f>AG35+AG36-AG37</f>
        <v>0</v>
      </c>
      <c r="AI38" s="14">
        <f>AI35+AI36-AI37</f>
        <v>4424.5300000000061</v>
      </c>
      <c r="AJ38" s="14">
        <f>AJ35+AJ36-AJ37</f>
        <v>690.26000000000204</v>
      </c>
      <c r="AL38" s="14">
        <f>AL35+AL36-AL37</f>
        <v>17278.940000000006</v>
      </c>
      <c r="AM38" s="14">
        <f>AM35+AM36-AM37</f>
        <v>2.0463630789890885E-12</v>
      </c>
      <c r="AO38" s="14">
        <f>AO35+AO36-AO37</f>
        <v>29654.770000000008</v>
      </c>
      <c r="AP38" s="14">
        <f>AP35+AP36-AP37</f>
        <v>2.0463630789890885E-12</v>
      </c>
      <c r="AR38" s="14">
        <f>AR35+AR36-AR37</f>
        <v>25597.140000000007</v>
      </c>
      <c r="AS38" s="14">
        <f>AS35+AS36-AS37</f>
        <v>0</v>
      </c>
      <c r="AU38" s="14">
        <f>AU35+AU36-AU37</f>
        <v>7469.0000000000146</v>
      </c>
      <c r="AV38" s="14">
        <f>AV35+AV36-AV37</f>
        <v>0</v>
      </c>
      <c r="AX38" s="14">
        <f>AX35+AX36-AX37</f>
        <v>-1191.6599999999853</v>
      </c>
      <c r="AY38" s="14">
        <f>AY35+AY36-AY37</f>
        <v>5000</v>
      </c>
      <c r="BA38" s="46">
        <f>BA35+BA36-BA37</f>
        <v>6543.640000000014</v>
      </c>
      <c r="BB38" s="46">
        <f>BB35+BB36-BB37</f>
        <v>0</v>
      </c>
      <c r="BD38" s="34">
        <f>BD35+BD36-BD37</f>
        <v>17603.89000000001</v>
      </c>
      <c r="BE38" s="34">
        <f>BE35+BE36-BE37</f>
        <v>0</v>
      </c>
    </row>
    <row r="39" spans="1:58" ht="15">
      <c r="B39" s="17"/>
      <c r="BD39" s="39"/>
    </row>
    <row r="40" spans="1:58">
      <c r="BA40" s="39"/>
    </row>
  </sheetData>
  <mergeCells count="108">
    <mergeCell ref="AU33:AV33"/>
    <mergeCell ref="AU8:AV8"/>
    <mergeCell ref="AU9:AV9"/>
    <mergeCell ref="AU15:AV15"/>
    <mergeCell ref="AU21:AV21"/>
    <mergeCell ref="AU27:AV27"/>
    <mergeCell ref="AL33:AM33"/>
    <mergeCell ref="AL8:AM8"/>
    <mergeCell ref="AL9:AM9"/>
    <mergeCell ref="AL15:AM15"/>
    <mergeCell ref="AL21:AM21"/>
    <mergeCell ref="AL27:AM27"/>
    <mergeCell ref="AO33:AP33"/>
    <mergeCell ref="AO8:AP8"/>
    <mergeCell ref="AO9:AP9"/>
    <mergeCell ref="AO15:AP15"/>
    <mergeCell ref="AO21:AP21"/>
    <mergeCell ref="AO27:AP27"/>
    <mergeCell ref="AR33:AS33"/>
    <mergeCell ref="AR8:AS8"/>
    <mergeCell ref="AR9:AS9"/>
    <mergeCell ref="AR15:AS15"/>
    <mergeCell ref="AR21:AS21"/>
    <mergeCell ref="AR27:AS27"/>
    <mergeCell ref="E33:F33"/>
    <mergeCell ref="E8:F8"/>
    <mergeCell ref="E9:F9"/>
    <mergeCell ref="E15:F15"/>
    <mergeCell ref="E21:F21"/>
    <mergeCell ref="E27:F27"/>
    <mergeCell ref="H27:I27"/>
    <mergeCell ref="H33:I33"/>
    <mergeCell ref="H8:I8"/>
    <mergeCell ref="H9:I9"/>
    <mergeCell ref="H15:I15"/>
    <mergeCell ref="H21:I21"/>
    <mergeCell ref="K27:L27"/>
    <mergeCell ref="K33:L33"/>
    <mergeCell ref="K8:L8"/>
    <mergeCell ref="K9:L9"/>
    <mergeCell ref="K15:L15"/>
    <mergeCell ref="K21:L21"/>
    <mergeCell ref="N8:O8"/>
    <mergeCell ref="N9:O9"/>
    <mergeCell ref="N15:O15"/>
    <mergeCell ref="N21:O21"/>
    <mergeCell ref="N33:O33"/>
    <mergeCell ref="Q33:R33"/>
    <mergeCell ref="Q15:R15"/>
    <mergeCell ref="Q21:R21"/>
    <mergeCell ref="T21:U21"/>
    <mergeCell ref="T27:U27"/>
    <mergeCell ref="T33:U33"/>
    <mergeCell ref="N27:O27"/>
    <mergeCell ref="T8:U8"/>
    <mergeCell ref="T9:U9"/>
    <mergeCell ref="T15:U15"/>
    <mergeCell ref="Q27:R27"/>
    <mergeCell ref="Q8:R8"/>
    <mergeCell ref="Q9:R9"/>
    <mergeCell ref="AC33:AD33"/>
    <mergeCell ref="AC8:AD8"/>
    <mergeCell ref="AC9:AD9"/>
    <mergeCell ref="AC15:AD15"/>
    <mergeCell ref="AC21:AD21"/>
    <mergeCell ref="AC27:AD27"/>
    <mergeCell ref="W33:X33"/>
    <mergeCell ref="W8:X8"/>
    <mergeCell ref="W9:X9"/>
    <mergeCell ref="W15:X15"/>
    <mergeCell ref="W21:X21"/>
    <mergeCell ref="W27:X27"/>
    <mergeCell ref="Z33:AA33"/>
    <mergeCell ref="Z8:AA8"/>
    <mergeCell ref="Z9:AA9"/>
    <mergeCell ref="Z15:AA15"/>
    <mergeCell ref="Z21:AA21"/>
    <mergeCell ref="Z27:AA27"/>
    <mergeCell ref="AI33:AJ33"/>
    <mergeCell ref="AI8:AJ8"/>
    <mergeCell ref="AI9:AJ9"/>
    <mergeCell ref="AI15:AJ15"/>
    <mergeCell ref="AI21:AJ21"/>
    <mergeCell ref="AI27:AJ27"/>
    <mergeCell ref="AF33:AG33"/>
    <mergeCell ref="AF8:AG8"/>
    <mergeCell ref="AF9:AG9"/>
    <mergeCell ref="AF15:AG15"/>
    <mergeCell ref="AF21:AG21"/>
    <mergeCell ref="AF27:AG27"/>
    <mergeCell ref="AX33:AY33"/>
    <mergeCell ref="AX8:AY8"/>
    <mergeCell ref="AX9:AY9"/>
    <mergeCell ref="AX15:AY15"/>
    <mergeCell ref="AX21:AY21"/>
    <mergeCell ref="AX27:AY27"/>
    <mergeCell ref="BA33:BB33"/>
    <mergeCell ref="BD8:BE8"/>
    <mergeCell ref="BD9:BE9"/>
    <mergeCell ref="BD15:BE15"/>
    <mergeCell ref="BD21:BE21"/>
    <mergeCell ref="BD27:BE27"/>
    <mergeCell ref="BD33:BE33"/>
    <mergeCell ref="BA8:BB8"/>
    <mergeCell ref="BA9:BB9"/>
    <mergeCell ref="BA15:BB15"/>
    <mergeCell ref="BA21:BB21"/>
    <mergeCell ref="BA27:BB27"/>
  </mergeCells>
  <phoneticPr fontId="0" type="noConversion"/>
  <pageMargins left="0.75" right="0.75" top="1" bottom="1" header="0.5" footer="0.5"/>
  <pageSetup paperSize="9" scale="5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2"/>
  <sheetViews>
    <sheetView zoomScaleNormal="100" workbookViewId="0">
      <selection activeCell="D20" sqref="D20"/>
    </sheetView>
  </sheetViews>
  <sheetFormatPr defaultRowHeight="12.75"/>
  <cols>
    <col min="1" max="1" width="21.140625" customWidth="1"/>
    <col min="2" max="3" width="13" customWidth="1"/>
    <col min="4" max="4" width="13.85546875" bestFit="1" customWidth="1"/>
    <col min="5" max="5" width="13" customWidth="1"/>
    <col min="6" max="6" width="12.28515625" bestFit="1" customWidth="1"/>
  </cols>
  <sheetData>
    <row r="1" spans="1:6" ht="18">
      <c r="A1" s="11" t="s">
        <v>0</v>
      </c>
      <c r="B1" s="25"/>
    </row>
    <row r="2" spans="1:6">
      <c r="A2" s="1"/>
    </row>
    <row r="3" spans="1:6">
      <c r="A3" s="1"/>
    </row>
    <row r="4" spans="1:6" ht="18">
      <c r="A4" s="70" t="s">
        <v>14</v>
      </c>
      <c r="B4" s="70"/>
      <c r="C4" s="70"/>
      <c r="D4" s="70"/>
      <c r="E4" s="70"/>
      <c r="F4" s="70"/>
    </row>
    <row r="6" spans="1:6">
      <c r="A6" s="71" t="s">
        <v>23</v>
      </c>
      <c r="B6" s="73" t="s">
        <v>2</v>
      </c>
      <c r="C6" s="73"/>
      <c r="D6" s="73"/>
      <c r="E6" s="73"/>
      <c r="F6" s="73"/>
    </row>
    <row r="7" spans="1:6">
      <c r="A7" s="72"/>
      <c r="B7" s="28" t="s">
        <v>15</v>
      </c>
      <c r="C7" s="28" t="s">
        <v>6</v>
      </c>
      <c r="D7" s="28" t="s">
        <v>18</v>
      </c>
      <c r="E7" s="28" t="s">
        <v>19</v>
      </c>
      <c r="F7" s="35" t="s">
        <v>20</v>
      </c>
    </row>
    <row r="8" spans="1:6">
      <c r="A8" s="26" t="s">
        <v>16</v>
      </c>
      <c r="B8" s="41">
        <v>6229.49</v>
      </c>
      <c r="C8" s="41">
        <v>33521.18</v>
      </c>
      <c r="D8" s="54">
        <v>34269.75</v>
      </c>
      <c r="E8" s="74">
        <v>3145.88</v>
      </c>
      <c r="F8" s="55">
        <v>17603.89</v>
      </c>
    </row>
    <row r="9" spans="1:6">
      <c r="A9" s="27" t="s">
        <v>17</v>
      </c>
      <c r="B9" s="40">
        <v>9255.6200000000008</v>
      </c>
      <c r="C9" s="40">
        <v>284640.87</v>
      </c>
      <c r="D9" s="40">
        <v>223776.52</v>
      </c>
      <c r="E9" s="75">
        <v>127846.19</v>
      </c>
      <c r="F9" s="56">
        <v>16175.61</v>
      </c>
    </row>
    <row r="10" spans="1:6">
      <c r="B10" s="42"/>
      <c r="C10" s="42"/>
      <c r="D10" s="42"/>
      <c r="F10" s="42"/>
    </row>
    <row r="12" spans="1:6">
      <c r="A12" s="29"/>
    </row>
  </sheetData>
  <mergeCells count="3">
    <mergeCell ref="A4:F4"/>
    <mergeCell ref="A6:A7"/>
    <mergeCell ref="B6:F6"/>
  </mergeCells>
  <phoneticPr fontId="11" type="noConversion"/>
  <pageMargins left="0.75" right="0.75" top="1" bottom="1" header="0.5" footer="0.5"/>
  <pageSetup paperSize="9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BB673C92540A5429EB8BBBC74F6BF64" ma:contentTypeVersion="11" ma:contentTypeDescription="Een nieuw document maken." ma:contentTypeScope="" ma:versionID="5c53577a4628d28385c66dd6722b51dc">
  <xsd:schema xmlns:xsd="http://www.w3.org/2001/XMLSchema" xmlns:xs="http://www.w3.org/2001/XMLSchema" xmlns:p="http://schemas.microsoft.com/office/2006/metadata/properties" xmlns:ns2="ac9dd4a8-f023-4187-9e1f-f91057153055" xmlns:ns3="df81a131-5cd6-4b01-9e78-8a46381dcf18" targetNamespace="http://schemas.microsoft.com/office/2006/metadata/properties" ma:root="true" ma:fieldsID="37b0373db708c7b3388b8ea11cafb17d" ns2:_="" ns3:_="">
    <xsd:import namespace="ac9dd4a8-f023-4187-9e1f-f91057153055"/>
    <xsd:import namespace="df81a131-5cd6-4b01-9e78-8a46381dcf1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9dd4a8-f023-4187-9e1f-f9105715305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Afbeeldingtags" ma:readOnly="false" ma:fieldId="{5cf76f15-5ced-4ddc-b409-7134ff3c332f}" ma:taxonomyMulti="true" ma:sspId="74a224f2-7f96-44a0-af31-a4a73b44be5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81a131-5cd6-4b01-9e78-8a46381dcf1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398224ee-518f-4d04-946e-af1365d83f39}" ma:internalName="TaxCatchAll" ma:showField="CatchAllData" ma:web="df81a131-5cd6-4b01-9e78-8a46381dcf1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c9dd4a8-f023-4187-9e1f-f91057153055">
      <Terms xmlns="http://schemas.microsoft.com/office/infopath/2007/PartnerControls"/>
    </lcf76f155ced4ddcb4097134ff3c332f>
    <TaxCatchAll xmlns="df81a131-5cd6-4b01-9e78-8a46381dcf18" xsi:nil="true"/>
  </documentManagement>
</p:properties>
</file>

<file path=customXml/itemProps1.xml><?xml version="1.0" encoding="utf-8"?>
<ds:datastoreItem xmlns:ds="http://schemas.openxmlformats.org/officeDocument/2006/customXml" ds:itemID="{96C84BF7-1164-4241-AC20-2B49433ABC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9dd4a8-f023-4187-9e1f-f91057153055"/>
    <ds:schemaRef ds:uri="df81a131-5cd6-4b01-9e78-8a46381dcf1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20E6DB7-210C-485C-AAF6-C5A3F5E595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FA034E-AE15-4144-BCDC-FC761D99B131}">
  <ds:schemaRefs>
    <ds:schemaRef ds:uri="http://schemas.microsoft.com/office/2006/metadata/properties"/>
    <ds:schemaRef ds:uri="http://schemas.microsoft.com/office/infopath/2007/PartnerControls"/>
    <ds:schemaRef ds:uri="ac9dd4a8-f023-4187-9e1f-f91057153055"/>
    <ds:schemaRef ds:uri="df81a131-5cd6-4b01-9e78-8a46381dcf1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Rekeningen EUR</vt:lpstr>
      <vt:lpstr>fin.rekeningen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</dc:creator>
  <cp:lastModifiedBy>Tamara Declerck</cp:lastModifiedBy>
  <cp:lastPrinted>2026-04-10T12:27:22Z</cp:lastPrinted>
  <dcterms:created xsi:type="dcterms:W3CDTF">1999-06-01T14:01:08Z</dcterms:created>
  <dcterms:modified xsi:type="dcterms:W3CDTF">2026-04-21T06:48:25Z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0x010100EBB673C92540A5429EB8BBBC74F6BF64</vt:lpwstr>
  </property>
  <property fmtid="{D5CDD505-2E9C-101B-9397-08002B2CF9AE}" pid="3" name="MediaServiceImageTags">
    <vt:lpwstr/>
  </property>
</Properties>
</file>